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/>
  <mc:AlternateContent xmlns:mc="http://schemas.openxmlformats.org/markup-compatibility/2006">
    <mc:Choice Requires="x15">
      <x15ac:absPath xmlns:x15ac="http://schemas.microsoft.com/office/spreadsheetml/2010/11/ac" url="d:\UsersNBU\005273\Desktop\Робоча\ICAAP\Лекція листопад\"/>
    </mc:Choice>
  </mc:AlternateContent>
  <bookViews>
    <workbookView xWindow="0" yWindow="0" windowWidth="28800" windowHeight="18000" tabRatio="760" activeTab="1"/>
  </bookViews>
  <sheets>
    <sheet name="Intro" sheetId="16" r:id="rId1"/>
    <sheet name="Normative_Perspective_Baseline" sheetId="15" r:id="rId2"/>
    <sheet name="Normative_Perspective_Adverse" sheetId="25" r:id="rId3"/>
    <sheet name="Economic_Perspective" sheetId="24" r:id="rId4"/>
    <sheet name="Capital allocation" sheetId="26" r:id="rId5"/>
  </sheets>
  <definedNames>
    <definedName name="alpha1">#REF!</definedName>
    <definedName name="alpha2">#REF!</definedName>
    <definedName name="alpha3">#REF!</definedName>
    <definedName name="beta">#REF!</definedName>
    <definedName name="beta_0">#REF!</definedName>
    <definedName name="beta_1">#REF!</definedName>
    <definedName name="beta_2">#REF!</definedName>
    <definedName name="beta_3">#REF!</definedName>
    <definedName name="tau">#REF!</definedName>
    <definedName name="tau_1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123" i="15" l="1"/>
  <c r="F39" i="26"/>
  <c r="E99" i="15" l="1"/>
  <c r="E115" i="15"/>
  <c r="E110" i="15"/>
  <c r="F115" i="15"/>
  <c r="E103" i="15"/>
  <c r="E47" i="15"/>
  <c r="F79" i="26" l="1"/>
  <c r="E107" i="26"/>
  <c r="E47" i="26"/>
  <c r="E106" i="26" s="1"/>
  <c r="E18" i="26"/>
  <c r="F78" i="26"/>
  <c r="E78" i="26"/>
  <c r="F15" i="26"/>
  <c r="F68" i="15"/>
  <c r="E43" i="26"/>
  <c r="F66" i="25"/>
  <c r="H81" i="25"/>
  <c r="H108" i="26"/>
  <c r="I108" i="26" s="1"/>
  <c r="H107" i="26"/>
  <c r="H105" i="26"/>
  <c r="H104" i="26"/>
  <c r="H103" i="26"/>
  <c r="F82" i="26"/>
  <c r="E82" i="26"/>
  <c r="F76" i="26"/>
  <c r="E76" i="26"/>
  <c r="G84" i="15"/>
  <c r="H84" i="15"/>
  <c r="F84" i="15"/>
  <c r="F43" i="26"/>
  <c r="E14" i="26"/>
  <c r="F14" i="26" s="1"/>
  <c r="E69" i="15"/>
  <c r="G66" i="25"/>
  <c r="H66" i="25"/>
  <c r="E66" i="25"/>
  <c r="G65" i="25"/>
  <c r="H65" i="25"/>
  <c r="F65" i="25"/>
  <c r="G68" i="15"/>
  <c r="H68" i="15"/>
  <c r="E72" i="26"/>
  <c r="E75" i="26" s="1"/>
  <c r="E74" i="26"/>
  <c r="F46" i="26"/>
  <c r="E104" i="26"/>
  <c r="E105" i="26"/>
  <c r="F105" i="26" s="1"/>
  <c r="F110" i="26" s="1"/>
  <c r="F127" i="26"/>
  <c r="F47" i="26" l="1"/>
  <c r="I105" i="26"/>
  <c r="F72" i="26"/>
  <c r="F36" i="26"/>
  <c r="F113" i="25" l="1"/>
  <c r="G112" i="25"/>
  <c r="H112" i="25"/>
  <c r="F112" i="25"/>
  <c r="F37" i="25"/>
  <c r="G37" i="25" s="1"/>
  <c r="H37" i="25" s="1"/>
  <c r="G40" i="15"/>
  <c r="H40" i="15" s="1"/>
  <c r="F40" i="15"/>
  <c r="AG122" i="15"/>
  <c r="AH122" i="15"/>
  <c r="AI122" i="15"/>
  <c r="AF122" i="15"/>
  <c r="G115" i="15" l="1"/>
  <c r="H115" i="15"/>
  <c r="F45" i="15"/>
  <c r="G45" i="15" s="1"/>
  <c r="H45" i="15" s="1"/>
  <c r="F44" i="15"/>
  <c r="F55" i="15"/>
  <c r="E52" i="25"/>
  <c r="E51" i="25"/>
  <c r="F41" i="15"/>
  <c r="G18" i="25"/>
  <c r="E53" i="15"/>
  <c r="F87" i="15"/>
  <c r="G87" i="15" s="1"/>
  <c r="H87" i="15" s="1"/>
  <c r="E81" i="25"/>
  <c r="E80" i="25"/>
  <c r="E77" i="25"/>
  <c r="E78" i="25"/>
  <c r="E76" i="25"/>
  <c r="E74" i="25"/>
  <c r="E73" i="25"/>
  <c r="F73" i="25" s="1"/>
  <c r="E70" i="25"/>
  <c r="E69" i="25"/>
  <c r="F72" i="15"/>
  <c r="U142" i="25" l="1"/>
  <c r="AD142" i="25" s="1"/>
  <c r="L142" i="25"/>
  <c r="T142" i="25" s="1"/>
  <c r="AC142" i="25" s="1"/>
  <c r="V142" i="25"/>
  <c r="AE142" i="25" s="1"/>
  <c r="W142" i="25"/>
  <c r="AF142" i="25" s="1"/>
  <c r="F80" i="25"/>
  <c r="F31" i="25"/>
  <c r="G31" i="25"/>
  <c r="H31" i="25"/>
  <c r="E31" i="25"/>
  <c r="E30" i="25"/>
  <c r="F31" i="15"/>
  <c r="F30" i="25" s="1"/>
  <c r="E126" i="15"/>
  <c r="E123" i="25" l="1"/>
  <c r="F18" i="26"/>
  <c r="E3" i="24"/>
  <c r="D3" i="24"/>
  <c r="F76" i="25" l="1"/>
  <c r="AD143" i="25"/>
  <c r="AE143" i="25"/>
  <c r="AF143" i="25"/>
  <c r="AC143" i="25"/>
  <c r="T143" i="25"/>
  <c r="U143" i="25"/>
  <c r="V143" i="25"/>
  <c r="W143" i="25"/>
  <c r="E102" i="25"/>
  <c r="E100" i="25"/>
  <c r="O122" i="15"/>
  <c r="F120" i="25"/>
  <c r="G120" i="25"/>
  <c r="H120" i="25"/>
  <c r="E120" i="25"/>
  <c r="F119" i="25"/>
  <c r="G119" i="25"/>
  <c r="H119" i="25"/>
  <c r="E119" i="25"/>
  <c r="E125" i="25" s="1"/>
  <c r="E108" i="25"/>
  <c r="E113" i="25" s="1"/>
  <c r="F123" i="15"/>
  <c r="G123" i="15"/>
  <c r="H123" i="15"/>
  <c r="E123" i="15"/>
  <c r="F122" i="15"/>
  <c r="G122" i="15"/>
  <c r="H122" i="15"/>
  <c r="E122" i="15"/>
  <c r="F116" i="15"/>
  <c r="E116" i="15"/>
  <c r="F79" i="15"/>
  <c r="F76" i="15"/>
  <c r="F73" i="15"/>
  <c r="F54" i="15"/>
  <c r="F83" i="15"/>
  <c r="G125" i="25" l="1"/>
  <c r="AE141" i="25"/>
  <c r="G126" i="25"/>
  <c r="V141" i="25"/>
  <c r="F126" i="25"/>
  <c r="U141" i="25"/>
  <c r="E130" i="25"/>
  <c r="AC141" i="25"/>
  <c r="E126" i="25"/>
  <c r="E131" i="25" s="1"/>
  <c r="T141" i="25"/>
  <c r="F125" i="25"/>
  <c r="F130" i="25" s="1"/>
  <c r="AD141" i="25"/>
  <c r="H125" i="25"/>
  <c r="AF141" i="25"/>
  <c r="H126" i="25"/>
  <c r="W141" i="25"/>
  <c r="E135" i="15"/>
  <c r="E129" i="15"/>
  <c r="E134" i="15"/>
  <c r="E128" i="15"/>
  <c r="AF120" i="15" s="1"/>
  <c r="E104" i="15"/>
  <c r="E65" i="25" l="1"/>
  <c r="E68" i="15" l="1"/>
  <c r="E36" i="26" l="1"/>
  <c r="F104" i="26"/>
  <c r="I104" i="26" s="1"/>
  <c r="F107" i="26"/>
  <c r="I107" i="26" s="1"/>
  <c r="F108" i="26"/>
  <c r="F44" i="26" l="1"/>
  <c r="E44" i="26"/>
  <c r="E127" i="26"/>
  <c r="E108" i="26"/>
  <c r="F75" i="26" l="1"/>
  <c r="F106" i="26"/>
  <c r="F45" i="26"/>
  <c r="F51" i="26" s="1"/>
  <c r="F16" i="26"/>
  <c r="E16" i="26"/>
  <c r="F6" i="26"/>
  <c r="F31" i="26" s="1"/>
  <c r="F7" i="26"/>
  <c r="F8" i="26"/>
  <c r="E8" i="26"/>
  <c r="E7" i="26"/>
  <c r="E92" i="26" s="1"/>
  <c r="E6" i="26"/>
  <c r="E60" i="26" s="1"/>
  <c r="F14" i="24"/>
  <c r="F9" i="24"/>
  <c r="F7" i="24"/>
  <c r="X122" i="15"/>
  <c r="Y122" i="15"/>
  <c r="Z122" i="15"/>
  <c r="W122" i="15"/>
  <c r="W119" i="15"/>
  <c r="AF119" i="15" s="1"/>
  <c r="F126" i="15"/>
  <c r="F38" i="25"/>
  <c r="G38" i="25" s="1"/>
  <c r="H38" i="25" s="1"/>
  <c r="H80" i="25"/>
  <c r="G41" i="15"/>
  <c r="H41" i="15" s="1"/>
  <c r="H83" i="15"/>
  <c r="E22" i="26" l="1"/>
  <c r="F128" i="15"/>
  <c r="AG120" i="15" s="1"/>
  <c r="F129" i="15"/>
  <c r="F134" i="15"/>
  <c r="F135" i="15"/>
  <c r="F103" i="26"/>
  <c r="I103" i="26" s="1"/>
  <c r="F22" i="26"/>
  <c r="F37" i="26" s="1"/>
  <c r="F123" i="25"/>
  <c r="F60" i="26"/>
  <c r="F113" i="26"/>
  <c r="F119" i="26" s="1"/>
  <c r="F91" i="26"/>
  <c r="F61" i="26"/>
  <c r="F32" i="26"/>
  <c r="F114" i="26"/>
  <c r="F120" i="26" s="1"/>
  <c r="F92" i="26"/>
  <c r="E113" i="26"/>
  <c r="E119" i="26" s="1"/>
  <c r="E91" i="26"/>
  <c r="E31" i="26"/>
  <c r="E62" i="26"/>
  <c r="E93" i="26"/>
  <c r="E115" i="26"/>
  <c r="E121" i="26" s="1"/>
  <c r="E33" i="26"/>
  <c r="E61" i="26"/>
  <c r="E32" i="26"/>
  <c r="E114" i="26"/>
  <c r="E120" i="26" s="1"/>
  <c r="F62" i="26"/>
  <c r="F115" i="26"/>
  <c r="F121" i="26" s="1"/>
  <c r="F33" i="26"/>
  <c r="F93" i="26"/>
  <c r="E45" i="26"/>
  <c r="E51" i="26" s="1"/>
  <c r="G31" i="15"/>
  <c r="X120" i="15"/>
  <c r="G80" i="25"/>
  <c r="F81" i="25"/>
  <c r="G81" i="25"/>
  <c r="G83" i="15"/>
  <c r="F5" i="24"/>
  <c r="E103" i="26" l="1"/>
  <c r="E110" i="26" s="1"/>
  <c r="G126" i="15"/>
  <c r="G30" i="25"/>
  <c r="G123" i="25" s="1"/>
  <c r="G130" i="25"/>
  <c r="G131" i="25"/>
  <c r="F131" i="25"/>
  <c r="W120" i="15"/>
  <c r="H31" i="15"/>
  <c r="F11" i="24"/>
  <c r="D13" i="24"/>
  <c r="E9" i="26" s="1"/>
  <c r="E13" i="24"/>
  <c r="F9" i="26" s="1"/>
  <c r="F15" i="24"/>
  <c r="F4" i="24"/>
  <c r="F3" i="24" s="1"/>
  <c r="G128" i="15" l="1"/>
  <c r="AH120" i="15" s="1"/>
  <c r="G129" i="15"/>
  <c r="G134" i="15"/>
  <c r="G135" i="15"/>
  <c r="H126" i="15"/>
  <c r="Z120" i="15" s="1"/>
  <c r="H30" i="25"/>
  <c r="H123" i="25" s="1"/>
  <c r="H130" i="25"/>
  <c r="H131" i="25"/>
  <c r="F94" i="26"/>
  <c r="F116" i="26"/>
  <c r="F122" i="26" s="1"/>
  <c r="F63" i="26"/>
  <c r="F34" i="26"/>
  <c r="E116" i="26"/>
  <c r="E122" i="26" s="1"/>
  <c r="E34" i="26"/>
  <c r="E94" i="26"/>
  <c r="E63" i="26"/>
  <c r="E19" i="24"/>
  <c r="E21" i="24" s="1"/>
  <c r="E5" i="26"/>
  <c r="E112" i="26" s="1"/>
  <c r="D19" i="24"/>
  <c r="D21" i="24" s="1"/>
  <c r="F5" i="26"/>
  <c r="F30" i="26" s="1"/>
  <c r="E65" i="26"/>
  <c r="Y120" i="15"/>
  <c r="H128" i="15" l="1"/>
  <c r="AI120" i="15" s="1"/>
  <c r="H129" i="15"/>
  <c r="H134" i="15"/>
  <c r="H135" i="15"/>
  <c r="F112" i="26"/>
  <c r="F90" i="26"/>
  <c r="F59" i="26"/>
  <c r="E118" i="26"/>
  <c r="E30" i="26"/>
  <c r="E59" i="26"/>
  <c r="E90" i="26"/>
  <c r="F65" i="26"/>
  <c r="F96" i="26"/>
  <c r="E37" i="26"/>
  <c r="E96" i="26"/>
  <c r="E66" i="26"/>
  <c r="F118" i="26" l="1"/>
  <c r="F124" i="26"/>
  <c r="F126" i="26" s="1"/>
  <c r="F129" i="26" s="1"/>
  <c r="E124" i="26"/>
  <c r="E126" i="26" s="1"/>
  <c r="E129" i="26" s="1"/>
  <c r="E97" i="26"/>
  <c r="F97" i="26"/>
  <c r="F66" i="26"/>
  <c r="O143" i="25"/>
  <c r="N143" i="25"/>
  <c r="M143" i="25"/>
  <c r="L143" i="25"/>
  <c r="H121" i="25"/>
  <c r="G121" i="25"/>
  <c r="F121" i="25"/>
  <c r="E121" i="25"/>
  <c r="L140" i="25"/>
  <c r="E105" i="25"/>
  <c r="E101" i="25"/>
  <c r="G76" i="25"/>
  <c r="H76" i="25" s="1"/>
  <c r="F74" i="25"/>
  <c r="G74" i="25" s="1"/>
  <c r="H74" i="25" s="1"/>
  <c r="G73" i="25"/>
  <c r="H73" i="25" s="1"/>
  <c r="E71" i="25"/>
  <c r="F70" i="25"/>
  <c r="G70" i="25" s="1"/>
  <c r="H70" i="25" s="1"/>
  <c r="F69" i="25"/>
  <c r="E59" i="25"/>
  <c r="H57" i="25"/>
  <c r="G57" i="25"/>
  <c r="F57" i="25"/>
  <c r="F53" i="25"/>
  <c r="G53" i="25" s="1"/>
  <c r="H53" i="25" s="1"/>
  <c r="F52" i="25"/>
  <c r="G52" i="25" s="1"/>
  <c r="H52" i="25" s="1"/>
  <c r="F51" i="25"/>
  <c r="G51" i="25" s="1"/>
  <c r="E50" i="25"/>
  <c r="E54" i="25" s="1"/>
  <c r="F46" i="25"/>
  <c r="G46" i="25" s="1"/>
  <c r="E45" i="25"/>
  <c r="E96" i="25" s="1"/>
  <c r="E44" i="25"/>
  <c r="F42" i="25"/>
  <c r="F41" i="25"/>
  <c r="E40" i="25"/>
  <c r="E33" i="25"/>
  <c r="E63" i="25" s="1"/>
  <c r="F33" i="25"/>
  <c r="F63" i="25" s="1"/>
  <c r="F13" i="24"/>
  <c r="F19" i="24" s="1"/>
  <c r="F21" i="24" s="1"/>
  <c r="G127" i="25" l="1"/>
  <c r="N141" i="25"/>
  <c r="AC140" i="25"/>
  <c r="T140" i="25"/>
  <c r="H127" i="25"/>
  <c r="O141" i="25"/>
  <c r="F127" i="25"/>
  <c r="F132" i="25" s="1"/>
  <c r="M141" i="25"/>
  <c r="L141" i="25"/>
  <c r="E127" i="25"/>
  <c r="E112" i="25"/>
  <c r="E107" i="25" s="1"/>
  <c r="G41" i="25"/>
  <c r="F44" i="25"/>
  <c r="F45" i="25"/>
  <c r="F96" i="25" s="1"/>
  <c r="F95" i="25" s="1"/>
  <c r="F78" i="25" s="1"/>
  <c r="F71" i="25"/>
  <c r="E67" i="25"/>
  <c r="E43" i="25"/>
  <c r="E39" i="25" s="1"/>
  <c r="G132" i="25"/>
  <c r="H132" i="25"/>
  <c r="E61" i="25"/>
  <c r="F105" i="25"/>
  <c r="E132" i="25"/>
  <c r="G42" i="25"/>
  <c r="F40" i="25"/>
  <c r="G69" i="25"/>
  <c r="H41" i="25"/>
  <c r="G44" i="25"/>
  <c r="G105" i="25"/>
  <c r="H46" i="25"/>
  <c r="H105" i="25" s="1"/>
  <c r="H51" i="25"/>
  <c r="G50" i="25"/>
  <c r="G54" i="25" s="1"/>
  <c r="F50" i="25"/>
  <c r="F54" i="25" s="1"/>
  <c r="M140" i="25"/>
  <c r="U140" i="25" l="1"/>
  <c r="AD140" i="25"/>
  <c r="F43" i="25"/>
  <c r="F77" i="25" s="1"/>
  <c r="E89" i="25"/>
  <c r="G45" i="25"/>
  <c r="G96" i="25" s="1"/>
  <c r="G108" i="25"/>
  <c r="G113" i="25" s="1"/>
  <c r="G71" i="25"/>
  <c r="E104" i="25"/>
  <c r="E111" i="25" s="1"/>
  <c r="E110" i="25" s="1"/>
  <c r="E47" i="25"/>
  <c r="E34" i="25" s="1"/>
  <c r="H69" i="25"/>
  <c r="H71" i="25" s="1"/>
  <c r="H42" i="25"/>
  <c r="G40" i="25"/>
  <c r="H50" i="25"/>
  <c r="H54" i="25" s="1"/>
  <c r="H44" i="25"/>
  <c r="G33" i="25"/>
  <c r="G63" i="25" s="1"/>
  <c r="N140" i="25"/>
  <c r="F67" i="25"/>
  <c r="G43" i="25" l="1"/>
  <c r="G39" i="25" s="1"/>
  <c r="G104" i="25" s="1"/>
  <c r="G111" i="25" s="1"/>
  <c r="AE140" i="25"/>
  <c r="V140" i="25"/>
  <c r="F39" i="25"/>
  <c r="F104" i="25" s="1"/>
  <c r="F111" i="25" s="1"/>
  <c r="F110" i="25" s="1"/>
  <c r="G77" i="25"/>
  <c r="G95" i="25"/>
  <c r="G78" i="25" s="1"/>
  <c r="F89" i="25"/>
  <c r="E91" i="25"/>
  <c r="E93" i="25" s="1"/>
  <c r="E135" i="25"/>
  <c r="E136" i="25"/>
  <c r="G67" i="25"/>
  <c r="H40" i="25"/>
  <c r="H108" i="25"/>
  <c r="E137" i="25"/>
  <c r="E97" i="25" s="1"/>
  <c r="E115" i="25"/>
  <c r="E117" i="25"/>
  <c r="L144" i="25" s="1"/>
  <c r="H45" i="25"/>
  <c r="H96" i="25" s="1"/>
  <c r="O140" i="25"/>
  <c r="H33" i="25"/>
  <c r="H63" i="25" s="1"/>
  <c r="F136" i="25" l="1"/>
  <c r="F137" i="25"/>
  <c r="F97" i="25" s="1"/>
  <c r="W140" i="25"/>
  <c r="AF140" i="25"/>
  <c r="F135" i="25"/>
  <c r="G89" i="25"/>
  <c r="G91" i="25" s="1"/>
  <c r="G93" i="25" s="1"/>
  <c r="E116" i="25"/>
  <c r="T144" i="25" s="1"/>
  <c r="AC144" i="25"/>
  <c r="E140" i="25"/>
  <c r="E141" i="25"/>
  <c r="E142" i="25"/>
  <c r="F91" i="25"/>
  <c r="F93" i="25" s="1"/>
  <c r="G110" i="25"/>
  <c r="H113" i="25"/>
  <c r="H43" i="25"/>
  <c r="H77" i="25" s="1"/>
  <c r="H67" i="25"/>
  <c r="H95" i="25"/>
  <c r="H78" i="25" s="1"/>
  <c r="H89" i="25" l="1"/>
  <c r="H91" i="25" s="1"/>
  <c r="H93" i="25" s="1"/>
  <c r="G136" i="25"/>
  <c r="E144" i="25"/>
  <c r="F36" i="25"/>
  <c r="G36" i="25" s="1"/>
  <c r="F58" i="25"/>
  <c r="G58" i="25" s="1"/>
  <c r="G135" i="25"/>
  <c r="G137" i="25"/>
  <c r="G97" i="25" s="1"/>
  <c r="H39" i="25"/>
  <c r="H104" i="25" s="1"/>
  <c r="H111" i="25" s="1"/>
  <c r="H110" i="25" s="1"/>
  <c r="F77" i="15"/>
  <c r="G77" i="15" s="1"/>
  <c r="H77" i="15" s="1"/>
  <c r="G76" i="15"/>
  <c r="H76" i="15" s="1"/>
  <c r="F59" i="25" l="1"/>
  <c r="F61" i="25" s="1"/>
  <c r="F102" i="25"/>
  <c r="F142" i="25" s="1"/>
  <c r="F100" i="25"/>
  <c r="F101" i="25" s="1"/>
  <c r="H136" i="25"/>
  <c r="F47" i="25"/>
  <c r="H135" i="25"/>
  <c r="H137" i="25"/>
  <c r="H97" i="25" s="1"/>
  <c r="H58" i="25"/>
  <c r="G59" i="25"/>
  <c r="G61" i="25" s="1"/>
  <c r="G102" i="25"/>
  <c r="G100" i="25"/>
  <c r="G140" i="25" s="1"/>
  <c r="H36" i="25"/>
  <c r="H47" i="25" s="1"/>
  <c r="G47" i="25"/>
  <c r="F34" i="25" l="1"/>
  <c r="F117" i="25"/>
  <c r="M144" i="25" s="1"/>
  <c r="F115" i="25"/>
  <c r="F116" i="25" s="1"/>
  <c r="U144" i="25" s="1"/>
  <c r="F140" i="25"/>
  <c r="G142" i="25"/>
  <c r="F141" i="25"/>
  <c r="G101" i="25"/>
  <c r="G115" i="25"/>
  <c r="G34" i="25"/>
  <c r="G117" i="25"/>
  <c r="H102" i="25"/>
  <c r="H100" i="25"/>
  <c r="H140" i="25" s="1"/>
  <c r="H59" i="25"/>
  <c r="H61" i="25" s="1"/>
  <c r="H34" i="25" s="1"/>
  <c r="G54" i="15"/>
  <c r="E105" i="15"/>
  <c r="G79" i="15"/>
  <c r="H79" i="15" s="1"/>
  <c r="G73" i="15"/>
  <c r="H73" i="15" s="1"/>
  <c r="G72" i="15"/>
  <c r="F144" i="25" l="1"/>
  <c r="AD144" i="25"/>
  <c r="H142" i="25"/>
  <c r="G116" i="25"/>
  <c r="V144" i="25" s="1"/>
  <c r="AE144" i="25"/>
  <c r="G141" i="25"/>
  <c r="G144" i="25" s="1"/>
  <c r="H101" i="25"/>
  <c r="H115" i="25"/>
  <c r="N144" i="25"/>
  <c r="H117" i="25"/>
  <c r="H54" i="15"/>
  <c r="H72" i="15"/>
  <c r="H116" i="25" l="1"/>
  <c r="W144" i="25" s="1"/>
  <c r="AF144" i="25"/>
  <c r="H141" i="25"/>
  <c r="H144" i="25" s="1"/>
  <c r="O144" i="25"/>
  <c r="O119" i="15" l="1"/>
  <c r="P122" i="15"/>
  <c r="Q122" i="15"/>
  <c r="R122" i="15"/>
  <c r="F124" i="15"/>
  <c r="G124" i="15"/>
  <c r="H124" i="15"/>
  <c r="E124" i="15"/>
  <c r="F136" i="15" l="1"/>
  <c r="F130" i="15"/>
  <c r="H136" i="15"/>
  <c r="H130" i="15"/>
  <c r="E136" i="15"/>
  <c r="E130" i="15"/>
  <c r="G136" i="15"/>
  <c r="G130" i="15"/>
  <c r="O120" i="15"/>
  <c r="Q120" i="15"/>
  <c r="R120" i="15"/>
  <c r="P120" i="15"/>
  <c r="F60" i="15" l="1"/>
  <c r="F49" i="15" l="1"/>
  <c r="G49" i="15" s="1"/>
  <c r="H49" i="15" s="1"/>
  <c r="E48" i="15"/>
  <c r="E36" i="15"/>
  <c r="E66" i="15" s="1"/>
  <c r="E101" i="15" s="1"/>
  <c r="X119" i="15"/>
  <c r="AG119" i="15" s="1"/>
  <c r="P119" i="15" l="1"/>
  <c r="F36" i="15"/>
  <c r="F66" i="15" s="1"/>
  <c r="F101" i="15" s="1"/>
  <c r="Y119" i="15"/>
  <c r="AH119" i="15" s="1"/>
  <c r="Q119" i="15" l="1"/>
  <c r="Z119" i="15"/>
  <c r="AI119" i="15" s="1"/>
  <c r="G36" i="15"/>
  <c r="G66" i="15" s="1"/>
  <c r="G101" i="15" s="1"/>
  <c r="E108" i="15"/>
  <c r="E57" i="15"/>
  <c r="F53" i="15"/>
  <c r="F48" i="15"/>
  <c r="G60" i="15"/>
  <c r="H60" i="15"/>
  <c r="F56" i="15"/>
  <c r="F108" i="15"/>
  <c r="E62" i="15"/>
  <c r="E43" i="15"/>
  <c r="G56" i="15" l="1"/>
  <c r="F69" i="15"/>
  <c r="H106" i="26" s="1"/>
  <c r="I106" i="26" s="1"/>
  <c r="E64" i="15"/>
  <c r="F57" i="15"/>
  <c r="G55" i="15"/>
  <c r="F99" i="15"/>
  <c r="R119" i="15"/>
  <c r="H36" i="15"/>
  <c r="H66" i="15" s="1"/>
  <c r="H101" i="15" s="1"/>
  <c r="G44" i="15"/>
  <c r="F47" i="15"/>
  <c r="F46" i="15" s="1"/>
  <c r="F43" i="15"/>
  <c r="F74" i="15"/>
  <c r="E70" i="15"/>
  <c r="E74" i="15"/>
  <c r="E46" i="15"/>
  <c r="E42" i="15" s="1"/>
  <c r="E107" i="15" s="1"/>
  <c r="E114" i="15" s="1"/>
  <c r="H56" i="15" l="1"/>
  <c r="H69" i="15" s="1"/>
  <c r="G69" i="15"/>
  <c r="F80" i="15"/>
  <c r="F98" i="15"/>
  <c r="F81" i="15" s="1"/>
  <c r="F42" i="15"/>
  <c r="F107" i="15" s="1"/>
  <c r="E92" i="15"/>
  <c r="F70" i="15"/>
  <c r="H55" i="15"/>
  <c r="H44" i="15"/>
  <c r="G47" i="15"/>
  <c r="G48" i="15"/>
  <c r="G99" i="15" s="1"/>
  <c r="G98" i="15" s="1"/>
  <c r="G43" i="15"/>
  <c r="E50" i="15"/>
  <c r="E37" i="15" s="1"/>
  <c r="H108" i="15"/>
  <c r="G108" i="15"/>
  <c r="G53" i="15"/>
  <c r="G57" i="15" s="1"/>
  <c r="G111" i="15" l="1"/>
  <c r="G116" i="15" s="1"/>
  <c r="E94" i="15"/>
  <c r="E96" i="15" s="1"/>
  <c r="H111" i="15"/>
  <c r="H116" i="15" s="1"/>
  <c r="F92" i="15"/>
  <c r="H47" i="15"/>
  <c r="G81" i="15"/>
  <c r="G70" i="15"/>
  <c r="F114" i="15"/>
  <c r="F113" i="15" s="1"/>
  <c r="E113" i="15"/>
  <c r="E139" i="15" s="1"/>
  <c r="G74" i="15"/>
  <c r="H48" i="15"/>
  <c r="H43" i="15"/>
  <c r="H53" i="15"/>
  <c r="H57" i="15" s="1"/>
  <c r="G46" i="15"/>
  <c r="G80" i="15" s="1"/>
  <c r="F140" i="15" l="1"/>
  <c r="F94" i="15"/>
  <c r="F96" i="15" s="1"/>
  <c r="E140" i="15"/>
  <c r="E118" i="15"/>
  <c r="E119" i="15"/>
  <c r="F139" i="15"/>
  <c r="F141" i="15"/>
  <c r="F100" i="15" s="1"/>
  <c r="E141" i="15"/>
  <c r="E100" i="15" s="1"/>
  <c r="G92" i="15"/>
  <c r="H46" i="15"/>
  <c r="H80" i="15" s="1"/>
  <c r="H99" i="15"/>
  <c r="E120" i="15"/>
  <c r="O123" i="15" s="1"/>
  <c r="G42" i="15"/>
  <c r="G107" i="15" s="1"/>
  <c r="H74" i="15"/>
  <c r="H70" i="15"/>
  <c r="F39" i="15" l="1"/>
  <c r="F50" i="15" s="1"/>
  <c r="F61" i="15"/>
  <c r="F103" i="15" s="1"/>
  <c r="F23" i="24" s="1"/>
  <c r="G94" i="15"/>
  <c r="G96" i="15" s="1"/>
  <c r="E145" i="15"/>
  <c r="E144" i="15"/>
  <c r="E146" i="15"/>
  <c r="H42" i="15"/>
  <c r="H107" i="15" s="1"/>
  <c r="H114" i="15" s="1"/>
  <c r="W123" i="15"/>
  <c r="H98" i="15"/>
  <c r="G114" i="15"/>
  <c r="E39" i="26" l="1"/>
  <c r="F62" i="15"/>
  <c r="F64" i="15" s="1"/>
  <c r="F37" i="15" s="1"/>
  <c r="G39" i="15"/>
  <c r="E68" i="26"/>
  <c r="E99" i="26"/>
  <c r="F68" i="26"/>
  <c r="F99" i="26"/>
  <c r="F26" i="24"/>
  <c r="F29" i="24" s="1"/>
  <c r="F27" i="24"/>
  <c r="E148" i="15"/>
  <c r="G61" i="15"/>
  <c r="G103" i="15" s="1"/>
  <c r="G104" i="15" s="1"/>
  <c r="F105" i="15"/>
  <c r="F144" i="15"/>
  <c r="F119" i="15"/>
  <c r="F118" i="15"/>
  <c r="F104" i="15"/>
  <c r="G113" i="15"/>
  <c r="H81" i="15"/>
  <c r="H92" i="15" s="1"/>
  <c r="H94" i="15" s="1"/>
  <c r="X123" i="15" l="1"/>
  <c r="AG123" i="15"/>
  <c r="G50" i="15"/>
  <c r="F120" i="15"/>
  <c r="P123" i="15" s="1"/>
  <c r="G105" i="15"/>
  <c r="G120" i="15" s="1"/>
  <c r="G62" i="15"/>
  <c r="G64" i="15" s="1"/>
  <c r="F146" i="15"/>
  <c r="F145" i="15"/>
  <c r="G118" i="15"/>
  <c r="AH123" i="15" s="1"/>
  <c r="G140" i="15"/>
  <c r="G119" i="15"/>
  <c r="G139" i="15"/>
  <c r="G141" i="15"/>
  <c r="G100" i="15" s="1"/>
  <c r="H96" i="15"/>
  <c r="H39" i="15" s="1"/>
  <c r="H113" i="15"/>
  <c r="G37" i="15" l="1"/>
  <c r="F148" i="15"/>
  <c r="H140" i="15"/>
  <c r="G145" i="15"/>
  <c r="G144" i="15"/>
  <c r="G146" i="15"/>
  <c r="H139" i="15"/>
  <c r="H141" i="15"/>
  <c r="H100" i="15" s="1"/>
  <c r="Y123" i="15"/>
  <c r="H50" i="15"/>
  <c r="H61" i="15"/>
  <c r="H103" i="15" s="1"/>
  <c r="Q123" i="15"/>
  <c r="H144" i="15" l="1"/>
  <c r="G148" i="15"/>
  <c r="H119" i="15"/>
  <c r="H104" i="15"/>
  <c r="H118" i="15"/>
  <c r="H62" i="15"/>
  <c r="H64" i="15" s="1"/>
  <c r="H37" i="15" s="1"/>
  <c r="H105" i="15"/>
  <c r="Z123" i="15" l="1"/>
  <c r="AI123" i="15"/>
  <c r="H146" i="15"/>
  <c r="H145" i="15"/>
  <c r="H120" i="15"/>
  <c r="H148" i="15" l="1"/>
  <c r="R123" i="15"/>
</calcChain>
</file>

<file path=xl/sharedStrings.xml><?xml version="1.0" encoding="utf-8"?>
<sst xmlns="http://schemas.openxmlformats.org/spreadsheetml/2006/main" count="480" uniqueCount="257">
  <si>
    <t>P1R</t>
  </si>
  <si>
    <t>P2R</t>
  </si>
  <si>
    <t>P2G</t>
  </si>
  <si>
    <t>CBR</t>
  </si>
  <si>
    <t>OCR</t>
  </si>
  <si>
    <t>TSCR</t>
  </si>
  <si>
    <t>RWA_CR</t>
  </si>
  <si>
    <t>RWA_MR</t>
  </si>
  <si>
    <t>RWA_OR</t>
  </si>
  <si>
    <t>Операційний ризик</t>
  </si>
  <si>
    <t>OCR (P1R+P2R+CBR)</t>
  </si>
  <si>
    <t>Курс, грн/дол. США</t>
  </si>
  <si>
    <t>національна валюта</t>
  </si>
  <si>
    <t>іноземна валюта</t>
  </si>
  <si>
    <t>Ставка за кредитами</t>
  </si>
  <si>
    <t>Ставка за депозитами</t>
  </si>
  <si>
    <t>Зміна номінального ВВП, %</t>
  </si>
  <si>
    <t>Збільшення кредитування</t>
  </si>
  <si>
    <t>Збільшення залучення депозитів</t>
  </si>
  <si>
    <t>Коментар</t>
  </si>
  <si>
    <t>девальвація гривні до долару США помірна</t>
  </si>
  <si>
    <t>не змінюється</t>
  </si>
  <si>
    <t>процентні ставки за депозитами у національній валюті знижуються</t>
  </si>
  <si>
    <t xml:space="preserve">процентні ставки за депозитами у іноземній валюті залишаються незмінними </t>
  </si>
  <si>
    <t>ВВП зростає (впливає на адміністративні та комісійні доходи/витрати)</t>
  </si>
  <si>
    <t>БАЛАНС</t>
  </si>
  <si>
    <t>АКТИВИ</t>
  </si>
  <si>
    <t>Грошові кошти та їх еквіваленти</t>
  </si>
  <si>
    <t>Кредити клієнтів (Чисті)</t>
  </si>
  <si>
    <t>Кредити клієнтів (Валові)</t>
  </si>
  <si>
    <t>Резерви під кредитні збитки</t>
  </si>
  <si>
    <t>Основні засоби</t>
  </si>
  <si>
    <t>Всього активів</t>
  </si>
  <si>
    <t>ЗОБОВ'ЯЗАННЯ</t>
  </si>
  <si>
    <t>Депозити</t>
  </si>
  <si>
    <t>Субординований борг (національна валюта)</t>
  </si>
  <si>
    <t>Всього зобов'язання</t>
  </si>
  <si>
    <t>ВЛАСНИЙ КАПІТАЛ</t>
  </si>
  <si>
    <t>Статутний капітал</t>
  </si>
  <si>
    <t>Нерозподілений прибуток</t>
  </si>
  <si>
    <t>Всього власний капітал</t>
  </si>
  <si>
    <t>Всього зобов'язання та власний капітал</t>
  </si>
  <si>
    <t>ФІНАНСОВИЙ РЕЗУЛЬТАТ</t>
  </si>
  <si>
    <t>Процентні доходи</t>
  </si>
  <si>
    <t>Процентні витрати</t>
  </si>
  <si>
    <t>Чистий процентний дохід</t>
  </si>
  <si>
    <t>Комісійні доходи</t>
  </si>
  <si>
    <t>Комісійні витрати</t>
  </si>
  <si>
    <t>Чистий комісійний дохід</t>
  </si>
  <si>
    <t>Інші операційні доходи</t>
  </si>
  <si>
    <t>Інші операційні витрати</t>
  </si>
  <si>
    <t>Адміністративні витрати</t>
  </si>
  <si>
    <t>Витрати на формування резервів</t>
  </si>
  <si>
    <t>Результат переоцінки валютної позиції</t>
  </si>
  <si>
    <t xml:space="preserve"> від подій операційного ризику</t>
  </si>
  <si>
    <t xml:space="preserve"> репутаційні втрати</t>
  </si>
  <si>
    <t xml:space="preserve"> стратегічні втрати</t>
  </si>
  <si>
    <t>Прибуток до оподаткування</t>
  </si>
  <si>
    <t>Податок на прибуток</t>
  </si>
  <si>
    <t>Чистий прибуток</t>
  </si>
  <si>
    <t>Результат від переоцінки відкритої валютної позиції (ВП)</t>
  </si>
  <si>
    <t>Чиста відкрита валютна позиція</t>
  </si>
  <si>
    <t>НОРМАТИВИ ДОСТАТНОСТІ КАПІТАЛУ</t>
  </si>
  <si>
    <t>Регулятивний капітал</t>
  </si>
  <si>
    <t>Кредити</t>
  </si>
  <si>
    <t>Необоротні активи</t>
  </si>
  <si>
    <t>Розмір ринкового ризику</t>
  </si>
  <si>
    <t>Розмір операційного ризику</t>
  </si>
  <si>
    <t>Управлінський запас</t>
  </si>
  <si>
    <t>Припущення</t>
  </si>
  <si>
    <t>реалізація кредитного ризику</t>
  </si>
  <si>
    <t>реалізація валютного ризику</t>
  </si>
  <si>
    <t>збільшується у результаті реалізації кредитного ризику (ризик міграції, дефолту, кредитної концентрації)</t>
  </si>
  <si>
    <t>збільшується у результаті реалізації кредитного ризику (ризик валютного кредитування)</t>
  </si>
  <si>
    <t>темп зростання ВВП знижується (впливає на адміністративні та комісійні доходи/витрати)</t>
  </si>
  <si>
    <t>темпи зростання кредитування сповільнюються, реалізація стратегічного ризику</t>
  </si>
  <si>
    <t>Кредитний ризик</t>
  </si>
  <si>
    <t>Ризик кредитної концентрації</t>
  </si>
  <si>
    <t>Ринковий ризик</t>
  </si>
  <si>
    <t>Процентний ризик банківської книги</t>
  </si>
  <si>
    <t>Інші ризики</t>
  </si>
  <si>
    <t>Ризик репутації</t>
  </si>
  <si>
    <t>Стратегічний ризик</t>
  </si>
  <si>
    <t>Експертна оцінка</t>
  </si>
  <si>
    <t>Метод оцінки (як приклад, будь-які релевантні методи оцінки можуть бути використані)</t>
  </si>
  <si>
    <t>Стресована оцінка</t>
  </si>
  <si>
    <t>Потреба у капіталі за Базовим сценарієм</t>
  </si>
  <si>
    <t>Частка резервування</t>
  </si>
  <si>
    <t>Потреба у капіталі за Несприятливим сценарієм</t>
  </si>
  <si>
    <r>
      <rPr>
        <i/>
        <sz val="10"/>
        <color theme="1"/>
        <rFont val="Arial"/>
        <family val="2"/>
        <charset val="204"/>
        <scheme val="minor"/>
      </rPr>
      <t>"The normative perspective is a multi-year assessment of the institution’s ability to fulfil all of its capital-related quantitative regulatory and supervisory requirements and demands, and to cope with other external financial constraints, on an ongoing basis."</t>
    </r>
    <r>
      <rPr>
        <sz val="10"/>
        <color theme="1"/>
        <rFont val="Arial"/>
        <family val="2"/>
        <charset val="204"/>
        <scheme val="minor"/>
      </rPr>
      <t xml:space="preserve">
Ми пропонуємо два сценарії: базовий та несприятливий. Базова лінія повинна безпосередньо враховувати стратегію банку. В умовах несприятливого всі суттєві ризики повинні матеріалізуватися у відповідній мірі. Ці ризики в першу чергу впливають на PnL банку ".</t>
    </r>
  </si>
  <si>
    <r>
      <rPr>
        <i/>
        <sz val="10"/>
        <color theme="1"/>
        <rFont val="Arial"/>
        <family val="2"/>
        <charset val="204"/>
        <scheme val="minor"/>
      </rPr>
      <t>"Under this perspective, the institution’s assessment is expected to cover the full universe of risks that may have a material impact on its capital position from an economic perspective. In order to capture the undisguised economic situation, this perspective is not based on accounting or regulatory provisions... Point-in-time risk quantification of the current situation..."</t>
    </r>
    <r>
      <rPr>
        <sz val="10"/>
        <color theme="1"/>
        <rFont val="Arial"/>
        <family val="2"/>
        <charset val="204"/>
        <scheme val="minor"/>
      </rPr>
      <t xml:space="preserve">
Ми припускаємо, що банк оцінює ризики та вимогу до капіталу для покриття цих ризиків у звичайних та стресових умовах. Отже, ми не очікуємо, що банки створять багаторічний стрес-сценарій, замість цього можна використовувати будь-які метрики стресованого ризику.</t>
    </r>
  </si>
  <si>
    <t>Сукупна вимога до капіталу</t>
  </si>
  <si>
    <t>Вхідні дані</t>
  </si>
  <si>
    <t>припущення (макроекономічні та бізнес-модель)</t>
  </si>
  <si>
    <t>у нормативній перспективі - регулятивні дані, у економічній перспективі - розрахунки Банку</t>
  </si>
  <si>
    <t>Облігації у банківській книзі</t>
  </si>
  <si>
    <t>Облігації у торговій книзі</t>
  </si>
  <si>
    <t>Результат від переоцінки інструментів банківської книги</t>
  </si>
  <si>
    <t>Результат від переоцінки інструментів торгової книги</t>
  </si>
  <si>
    <t>Ризик концентрації ризиків/ефект диверсифікації (довідково)</t>
  </si>
  <si>
    <t>падіння ринкової вартості облігацій торгової книги</t>
  </si>
  <si>
    <t>реалізація процентного ризику банківської книги</t>
  </si>
  <si>
    <t>Сукупна вимога до капіталу за SREP (P1R+P2R)</t>
  </si>
  <si>
    <t>Комбінований буфер капіталу</t>
  </si>
  <si>
    <t>Норматив адекватності капіталу за Pillar 1</t>
  </si>
  <si>
    <t>Вимога до капіталу за SREP</t>
  </si>
  <si>
    <t>Рекомендації щодо капіталу за SREP</t>
  </si>
  <si>
    <t>Комбінований буфер капіталу (CBR)</t>
  </si>
  <si>
    <t>Вимога до буферу консервації</t>
  </si>
  <si>
    <t>Вимога до буферу системної важливості</t>
  </si>
  <si>
    <t>Банк не планує здійснювати виплату дивідендів</t>
  </si>
  <si>
    <t xml:space="preserve">Кількісна оцінка усіх суттєвих ризиків </t>
  </si>
  <si>
    <t>Управлінський запас внутрішнього капіталу</t>
  </si>
  <si>
    <t>Алокація ризик-капіталу між сегментами</t>
  </si>
  <si>
    <t>Обсяг ризиків</t>
  </si>
  <si>
    <t>Оцінка</t>
  </si>
  <si>
    <t>СЕГМЕНТ 1. Кредитування у національній валюті</t>
  </si>
  <si>
    <t>Обсяг виданих кредитів</t>
  </si>
  <si>
    <t>Середня відсоткова ставка</t>
  </si>
  <si>
    <t>Очікувані процентні доходи</t>
  </si>
  <si>
    <t>частка процентних витрат та очікуваного доходу на капітал, що розподілена сегменту</t>
  </si>
  <si>
    <t>з огляду на частку сегмента у кредитному портфелі</t>
  </si>
  <si>
    <t>з огляду на частку у загальному портфелі</t>
  </si>
  <si>
    <t>з огляду на частку сегмента у кредитному портфелі та волатильність банківських ставок у гривні</t>
  </si>
  <si>
    <t>з огляду на стратегічний та репутаційний ризик</t>
  </si>
  <si>
    <t>% від доступного</t>
  </si>
  <si>
    <t>ліміт до доступного, %</t>
  </si>
  <si>
    <t>СЕГМЕНТ 2. Кредитування у іноземній валюті</t>
  </si>
  <si>
    <t>СЕГМЕНТ 3. Операції з цінними паперами</t>
  </si>
  <si>
    <t>низькі торгові витрати</t>
  </si>
  <si>
    <t>PD = 0 для ДЦП</t>
  </si>
  <si>
    <t>з огляду на частку у портфелі та низький рівень КР ДЦП</t>
  </si>
  <si>
    <t>Економічний капітал</t>
  </si>
  <si>
    <t>Розрахунок показника для цілей прикладу є спрощеним</t>
  </si>
  <si>
    <t>Значення у цьому та наступних розділах є очікуваними. Для прикладу припускається очікування на рівні останніх історичних даних.</t>
  </si>
  <si>
    <t>Очікувані комісійні доходи сегмента</t>
  </si>
  <si>
    <t>Витрати на фондування сегмента</t>
  </si>
  <si>
    <t>Адміністративні витрати сегмента</t>
  </si>
  <si>
    <t>% кредитного ризику сегмента від загального</t>
  </si>
  <si>
    <t>% операційного ризику сегмента від загального</t>
  </si>
  <si>
    <t>% ринкового ризику сегмента від загального</t>
  </si>
  <si>
    <t>% процентного ризику банківської книги сегмента від загального</t>
  </si>
  <si>
    <t>% інших ризиків сегмента від загального</t>
  </si>
  <si>
    <t>Кредитний ризик сегмента</t>
  </si>
  <si>
    <t>Операційний ризик сегмента</t>
  </si>
  <si>
    <t>Ринковий ризик сегмента</t>
  </si>
  <si>
    <t>Процентний ризик банківської книги сегмента</t>
  </si>
  <si>
    <t>Інший ризик сегмента</t>
  </si>
  <si>
    <t>Економічний капітал сегмента</t>
  </si>
  <si>
    <t>RAROC сегмента</t>
  </si>
  <si>
    <t>Загалом по Банку</t>
  </si>
  <si>
    <t>Очікувані комісійні доходи</t>
  </si>
  <si>
    <t>Витрати на фондування діяльності</t>
  </si>
  <si>
    <t>Необхідний економічний капітал</t>
  </si>
  <si>
    <t>RAROC</t>
  </si>
  <si>
    <t>Додана економічна вартість (EVA)</t>
  </si>
  <si>
    <t>Вартість акціонерного капіталу (Cost of equity)</t>
  </si>
  <si>
    <t>Cost of equity</t>
  </si>
  <si>
    <t>Розрахунок показника для цілей прикладу є спрощеним. Значення більше Cost of equity свідчить про те, що сегмент збільшує вартість акціонерного капіталу Банку.</t>
  </si>
  <si>
    <t>Значення більше 0 свідчить про те, що банк збільшує вартість капіталу. Тобто його діяльність є прибутковою з урахуванням ризиків.</t>
  </si>
  <si>
    <t>У стресовий період ліміт буде перевищено. Банк має адресувати це у СУР</t>
  </si>
  <si>
    <t>Втрати від ризиків, ідентифікованих за економічною перспективою</t>
  </si>
  <si>
    <t>1. Нормативна перспектива (базовий та несприятливий сценарії)</t>
  </si>
  <si>
    <t>2. Економічна перспектива</t>
  </si>
  <si>
    <t xml:space="preserve">Позитивна різниця між величиною необхідного та доступного внутрішнього капіталу. </t>
  </si>
  <si>
    <t>дані з фінансової звітності, інші історичні дані</t>
  </si>
  <si>
    <t>Очікувані втрати від ризику</t>
  </si>
  <si>
    <t>Довідково:</t>
  </si>
  <si>
    <t>Необхідний капітал % від доступного</t>
  </si>
  <si>
    <t>банки повинні враховувати інші суттєві ризики</t>
  </si>
  <si>
    <t>реалізація ринкового ризику</t>
  </si>
  <si>
    <t>Ефект не враховується для цілей розрахунку необхідного капіталу</t>
  </si>
  <si>
    <t>Ставка за цінними паперами</t>
  </si>
  <si>
    <t>Величина необхідного внутрішнього капіталу:</t>
  </si>
  <si>
    <t xml:space="preserve">Величина необхідного внутрішнього капіталу </t>
  </si>
  <si>
    <t xml:space="preserve">Співвідношення доступного до необхідного внутрішнього капіталу, визначеного з урахуванням стрес-тестування, % </t>
  </si>
  <si>
    <t>Потреба у внутрішньому капіталі</t>
  </si>
  <si>
    <t>Сукупна експозиція під ризиком</t>
  </si>
  <si>
    <t>Очікуваний прибуток після податків, що враховує ризик</t>
  </si>
  <si>
    <t>Величина доступного внутрішнього капіталу за економічною перспективою</t>
  </si>
  <si>
    <t>Мінімальне значення Нрк</t>
  </si>
  <si>
    <t>Мінімальне значення Нк1</t>
  </si>
  <si>
    <t>Мінімальне значення Нок1</t>
  </si>
  <si>
    <t>1-й рік</t>
  </si>
  <si>
    <t>2-й рік</t>
  </si>
  <si>
    <t>3-й рік</t>
  </si>
  <si>
    <t>Факт</t>
  </si>
  <si>
    <t>Вимога до буфера системного ризику</t>
  </si>
  <si>
    <t>Основний капітал 1 рівня</t>
  </si>
  <si>
    <t>Капітал 1 рівня</t>
  </si>
  <si>
    <t>Розрахунковий Нок1</t>
  </si>
  <si>
    <t>Мінімальне значення К1</t>
  </si>
  <si>
    <t>Розрахунковий Нрк</t>
  </si>
  <si>
    <t>Підвищення значень нормативів  у результаті SREP (P2R)</t>
  </si>
  <si>
    <t>Цільове значення нормативу Нок1, %</t>
  </si>
  <si>
    <t>Цільове значення нормативу Нк1, %</t>
  </si>
  <si>
    <t>Цільове значення нормативу Нрк, %</t>
  </si>
  <si>
    <t>Розрахунковий НК1</t>
  </si>
  <si>
    <t>залучення депозитів зменшується у першому році, далі повільно зростає</t>
  </si>
  <si>
    <t>Примітка: основний капітал 1 рівня</t>
  </si>
  <si>
    <t>Від'ємне значення свідчило б про необхідність підвищення доступного внутрішнього капіталу або зменшення рівня ризиків (наприклад, перегляд лімітів).</t>
  </si>
  <si>
    <t>Значення менше 100% свідчило б про необхідність підвищення доступного внутрішнього капіталу або зменшення рівня ризиків.</t>
  </si>
  <si>
    <t xml:space="preserve">Вимога до буферу консервації </t>
  </si>
  <si>
    <t xml:space="preserve">Вимога до контрциклічного буферу </t>
  </si>
  <si>
    <t>Різниця між доступним та необхідним внутрішнім капіталом, визначеним з урахуванням стрес-тестування, млн. грн.</t>
  </si>
  <si>
    <t>Величина доступного внутрішнього капіталу, млн грн:</t>
  </si>
  <si>
    <t>Різниця між доступним та необхідним внутрішнім капіталом, млн.грн.</t>
  </si>
  <si>
    <t xml:space="preserve">Підвищене значення нормативу Нок1 
</t>
  </si>
  <si>
    <t xml:space="preserve">Підвищене значення нормативу НК1 
</t>
  </si>
  <si>
    <t xml:space="preserve">Підвищене значення нормативу Н2 
</t>
  </si>
  <si>
    <t>TSCR (P1R+P2R)</t>
  </si>
  <si>
    <t>Загальний (ризик дефолту, міграції)</t>
  </si>
  <si>
    <t>Ринковий ризик (валютний, процентний ризик торгової книги)</t>
  </si>
  <si>
    <t>Модель розподілу втрат (Loss Distribution Approach), на основі даних про втрати від операційного ризику (внутрішніх та зовнішніх) та результати сценарного аналізу.</t>
  </si>
  <si>
    <t xml:space="preserve">Індекс галузевої концентрації </t>
  </si>
  <si>
    <t>Більше з двох NII (відображає можливу зміну чистого процентного доходу за різних сценаріїв зміни ставки) або EVE (відображає можливу зміну чистої теперішньої вартості активів, зобов'язань та позабалансових позицій банківської книги в результаті реалізації різних сценаріїв зміни процентних ставок)</t>
  </si>
  <si>
    <t>Має бути going-concern capital</t>
  </si>
  <si>
    <t>Без урахування СТ</t>
  </si>
  <si>
    <t>З урахуванням СТ</t>
  </si>
  <si>
    <t>Max</t>
  </si>
  <si>
    <t xml:space="preserve">Облікова ставка </t>
  </si>
  <si>
    <t xml:space="preserve">Вимога до буферу системної важливості </t>
  </si>
  <si>
    <t>Л13</t>
  </si>
  <si>
    <t xml:space="preserve">Збільшення кредитування </t>
  </si>
  <si>
    <t>Податок на прибуток (25%)</t>
  </si>
  <si>
    <t>Величина необхідного внутрішнього капіталу, млн грн:</t>
  </si>
  <si>
    <t>Нормативні вимоги до Нок1, %</t>
  </si>
  <si>
    <t>Нормативні вимоги до Нк1, %</t>
  </si>
  <si>
    <t>Нормативні вимоги до Нрк, %</t>
  </si>
  <si>
    <t>Прогнозний Нок1</t>
  </si>
  <si>
    <t>Прогнозний К1</t>
  </si>
  <si>
    <t>Прогнозний Нрк</t>
  </si>
  <si>
    <t>Прогноз НК1</t>
  </si>
  <si>
    <t>Очікувані комісійні витрати</t>
  </si>
  <si>
    <t>Обсяг цінних паперів банківська книга</t>
  </si>
  <si>
    <t>Очікувані доходи від переоцінки</t>
  </si>
  <si>
    <t>обліковуються за FV через PL</t>
  </si>
  <si>
    <t>Перевірка</t>
  </si>
  <si>
    <t xml:space="preserve">Розрахунок показника для цілей прикладу є спрощеним. </t>
  </si>
  <si>
    <t>банк не планує здійснювати виплату дивідендів</t>
  </si>
  <si>
    <t>визначається відповідно до Положення № 162</t>
  </si>
  <si>
    <t>визначається відповідно до Положення № 156</t>
  </si>
  <si>
    <t>MR</t>
  </si>
  <si>
    <t>OR</t>
  </si>
  <si>
    <t>Сценарний аналіз, оцінка певного рівня кредитних втрат із огляду на макроекономічні припущення базуючись на історичних спостереженнях.</t>
  </si>
  <si>
    <t>Валютний ризик</t>
  </si>
  <si>
    <t>Для валютного - VaR,  довірча ймовірність 99% за стресовий період з урахуванням 10-денного періоду утримання ризик позицій. Для процентного ризику торгової книги - моделювання зміна справедливої вартості портфеля ОВДП при зміні ринкової ставки.</t>
  </si>
  <si>
    <t>процентні ставки за кредитами у національній валюті знижуються</t>
  </si>
  <si>
    <t>процентні ставки за кредитами у іноземній валюті не змінюються</t>
  </si>
  <si>
    <t>ставка 0,1%</t>
  </si>
  <si>
    <t>визначається відповідно до Положення № 368</t>
  </si>
  <si>
    <t>Переоцінка облігацій торгової книги, % вартості</t>
  </si>
  <si>
    <t>процентні ставки за кредитами у національній валюті не змінюються</t>
  </si>
  <si>
    <t>процентні ставки за депозитами у національній валюті зростаюсь, звуження спреду</t>
  </si>
  <si>
    <t xml:space="preserve">девальвація гривні до дол. США значна </t>
  </si>
  <si>
    <t>Сукупна величина всіх суттєвих ризиків, визначена згідно з вимогами Положення 64</t>
  </si>
  <si>
    <t>Прогноз Нок1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</si>
</sst>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%"/>
    <numFmt numFmtId="165" formatCode="#,##0.0"/>
    <numFmt numFmtId="166" formatCode="_-* #,##0.0_-;\-* #,##0.0_-;_-* &quot;-&quot;??_-;_-@_-"/>
    <numFmt numFmtId="167" formatCode="0.000%"/>
    <numFmt numFmtId="168" formatCode="0.0000%"/>
    <numFmt numFmtId="169" formatCode="0.0"/>
    <numFmt numFmtId="177" formatCode="_-* #,##0_-;\-* #,##0_-;_-* &quot;-&quot;??_-;_-@_-"/>
  </numFmts>
  <fonts count="36" x14ac:knownFonts="1">
    <font>
      <sz val="10"/>
      <color theme="1"/>
      <name val="Arial"/>
      <family val="2"/>
      <charset val="204"/>
      <scheme val="minor"/>
    </font>
    <font>
      <sz val="10"/>
      <name val="Arial"/>
      <family val="2"/>
      <charset val="204"/>
      <scheme val="minor"/>
    </font>
    <font>
      <b/>
      <sz val="10"/>
      <name val="Arial"/>
      <family val="2"/>
      <scheme val="minor"/>
    </font>
    <font>
      <b/>
      <sz val="10"/>
      <name val="Arial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scheme val="minor"/>
    </font>
    <font>
      <sz val="10"/>
      <color theme="1"/>
      <name val="Arial"/>
      <family val="2"/>
      <charset val="204"/>
      <scheme val="minor"/>
    </font>
    <font>
      <b/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  <scheme val="minor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  <scheme val="minor"/>
    </font>
    <font>
      <i/>
      <sz val="10"/>
      <name val="Arial"/>
      <family val="2"/>
      <scheme val="minor"/>
    </font>
    <font>
      <b/>
      <i/>
      <sz val="10"/>
      <color rgb="FF0070C0"/>
      <name val="Arial"/>
      <family val="2"/>
      <scheme val="minor"/>
    </font>
    <font>
      <b/>
      <i/>
      <sz val="10"/>
      <name val="Arial"/>
      <family val="2"/>
      <scheme val="minor"/>
    </font>
    <font>
      <b/>
      <i/>
      <sz val="10"/>
      <color rgb="FFFF0000"/>
      <name val="Arial"/>
      <family val="2"/>
      <scheme val="minor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rgb="FF0070C0"/>
      <name val="Arial"/>
      <family val="2"/>
      <charset val="204"/>
      <scheme val="minor"/>
    </font>
    <font>
      <sz val="10"/>
      <color theme="8"/>
      <name val="Arial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 tint="0.59999389629810485"/>
      <name val="Arial"/>
      <family val="2"/>
      <charset val="204"/>
      <scheme val="minor"/>
    </font>
    <font>
      <i/>
      <sz val="10"/>
      <name val="Arial"/>
      <family val="2"/>
      <charset val="204"/>
      <scheme val="minor"/>
    </font>
    <font>
      <b/>
      <i/>
      <sz val="10"/>
      <color rgb="FFFF0000"/>
      <name val="Arial"/>
      <family val="2"/>
      <charset val="204"/>
      <scheme val="minor"/>
    </font>
    <font>
      <i/>
      <sz val="10"/>
      <color theme="1"/>
      <name val="Arial"/>
      <family val="2"/>
      <charset val="204"/>
      <scheme val="minor"/>
    </font>
    <font>
      <sz val="8"/>
      <name val="Arial"/>
      <family val="2"/>
      <charset val="204"/>
      <scheme val="minor"/>
    </font>
    <font>
      <i/>
      <sz val="8"/>
      <color theme="0" tint="-0.249977111117893"/>
      <name val="Arial"/>
      <family val="2"/>
      <charset val="204"/>
      <scheme val="minor"/>
    </font>
    <font>
      <b/>
      <i/>
      <sz val="10"/>
      <color theme="0" tint="-0.249977111117893"/>
      <name val="Arial"/>
      <family val="2"/>
      <charset val="204"/>
      <scheme val="minor"/>
    </font>
    <font>
      <sz val="10"/>
      <color rgb="FFFF0000"/>
      <name val="Arial"/>
      <family val="2"/>
      <scheme val="minor"/>
    </font>
    <font>
      <sz val="10"/>
      <color rgb="FFFF0000"/>
      <name val="Arial"/>
      <family val="2"/>
      <charset val="204"/>
      <scheme val="minor"/>
    </font>
    <font>
      <i/>
      <sz val="10"/>
      <color rgb="FFFF0000"/>
      <name val="Arial"/>
      <family val="2"/>
      <scheme val="minor"/>
    </font>
    <font>
      <b/>
      <sz val="10"/>
      <color rgb="FFFF0000"/>
      <name val="Arial"/>
      <family val="2"/>
      <scheme val="minor"/>
    </font>
    <font>
      <sz val="10"/>
      <color theme="0" tint="-4.9989318521683403E-2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3C3CB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hair">
        <color rgb="FF8C969B"/>
      </left>
      <right style="hair">
        <color rgb="FF8C969B"/>
      </right>
      <top style="hair">
        <color rgb="FF8C969B"/>
      </top>
      <bottom style="hair">
        <color rgb="FF8C969B"/>
      </bottom>
      <diagonal/>
    </border>
    <border>
      <left/>
      <right/>
      <top/>
      <bottom style="thin">
        <color auto="1"/>
      </bottom>
      <diagonal/>
    </border>
    <border>
      <left style="hair">
        <color rgb="FF8C969B"/>
      </left>
      <right style="hair">
        <color rgb="FF8C969B"/>
      </right>
      <top style="hair">
        <color rgb="FF8C969B"/>
      </top>
      <bottom style="thin">
        <color indexed="64"/>
      </bottom>
      <diagonal/>
    </border>
    <border>
      <left/>
      <right/>
      <top style="thick">
        <color rgb="FF92D050"/>
      </top>
      <bottom/>
      <diagonal/>
    </border>
    <border>
      <left/>
      <right/>
      <top/>
      <bottom style="thick">
        <color rgb="FF92D050"/>
      </bottom>
      <diagonal/>
    </border>
  </borders>
  <cellStyleXfs count="5">
    <xf numFmtId="0" fontId="0" fillId="0" borderId="0">
      <alignment vertical="center" wrapText="1"/>
    </xf>
    <xf numFmtId="0" fontId="4" fillId="0" borderId="0"/>
    <xf numFmtId="9" fontId="6" fillId="0" borderId="0" applyFont="0" applyFill="0" applyBorder="0" applyAlignment="0" applyProtection="0"/>
    <xf numFmtId="0" fontId="23" fillId="0" borderId="0"/>
    <xf numFmtId="43" fontId="6" fillId="0" borderId="0" applyFont="0" applyFill="0" applyBorder="0" applyAlignment="0" applyProtection="0"/>
  </cellStyleXfs>
  <cellXfs count="137">
    <xf numFmtId="0" fontId="0" fillId="0" borderId="0" xfId="0">
      <alignment vertical="center" wrapText="1"/>
    </xf>
    <xf numFmtId="2" fontId="1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9" fontId="8" fillId="2" borderId="1" xfId="2" applyNumberFormat="1" applyFont="1" applyFill="1" applyBorder="1" applyAlignment="1"/>
    <xf numFmtId="165" fontId="9" fillId="2" borderId="1" xfId="0" applyNumberFormat="1" applyFont="1" applyFill="1" applyBorder="1" applyAlignment="1">
      <alignment horizontal="right"/>
    </xf>
    <xf numFmtId="2" fontId="1" fillId="0" borderId="2" xfId="0" applyNumberFormat="1" applyFont="1" applyBorder="1" applyAlignment="1">
      <alignment vertical="center"/>
    </xf>
    <xf numFmtId="0" fontId="3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3" fillId="4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4" fontId="9" fillId="5" borderId="1" xfId="0" applyNumberFormat="1" applyFont="1" applyFill="1" applyBorder="1" applyAlignment="1">
      <alignment horizontal="right"/>
    </xf>
    <xf numFmtId="4" fontId="9" fillId="5" borderId="3" xfId="0" applyNumberFormat="1" applyFont="1" applyFill="1" applyBorder="1" applyAlignment="1">
      <alignment horizontal="right"/>
    </xf>
    <xf numFmtId="164" fontId="13" fillId="6" borderId="1" xfId="0" applyNumberFormat="1" applyFont="1" applyFill="1" applyBorder="1" applyAlignment="1">
      <alignment horizontal="right"/>
    </xf>
    <xf numFmtId="164" fontId="8" fillId="2" borderId="1" xfId="2" applyNumberFormat="1" applyFont="1" applyFill="1" applyBorder="1" applyAlignment="1"/>
    <xf numFmtId="164" fontId="19" fillId="6" borderId="1" xfId="0" applyNumberFormat="1" applyFont="1" applyFill="1" applyBorder="1" applyAlignment="1">
      <alignment horizontal="right"/>
    </xf>
    <xf numFmtId="2" fontId="20" fillId="6" borderId="1" xfId="2" applyNumberFormat="1" applyFont="1" applyFill="1" applyBorder="1" applyAlignment="1">
      <alignment horizontal="right"/>
    </xf>
    <xf numFmtId="0" fontId="14" fillId="7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0" fontId="15" fillId="7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0" fontId="5" fillId="7" borderId="0" xfId="0" applyFont="1" applyFill="1" applyAlignment="1">
      <alignment vertical="center"/>
    </xf>
    <xf numFmtId="2" fontId="15" fillId="7" borderId="0" xfId="0" applyNumberFormat="1" applyFont="1" applyFill="1" applyAlignment="1">
      <alignment vertical="center"/>
    </xf>
    <xf numFmtId="0" fontId="3" fillId="7" borderId="0" xfId="0" applyFont="1" applyFill="1" applyAlignment="1">
      <alignment vertical="center"/>
    </xf>
    <xf numFmtId="2" fontId="16" fillId="7" borderId="0" xfId="0" applyNumberFormat="1" applyFont="1" applyFill="1" applyAlignment="1">
      <alignment vertical="center"/>
    </xf>
    <xf numFmtId="2" fontId="1" fillId="7" borderId="0" xfId="0" applyNumberFormat="1" applyFont="1" applyFill="1" applyAlignment="1">
      <alignment vertical="center"/>
    </xf>
    <xf numFmtId="2" fontId="17" fillId="7" borderId="0" xfId="0" applyNumberFormat="1" applyFont="1" applyFill="1" applyAlignment="1">
      <alignment vertical="center"/>
    </xf>
    <xf numFmtId="0" fontId="2" fillId="7" borderId="0" xfId="0" applyFont="1" applyFill="1" applyAlignment="1">
      <alignment vertical="center"/>
    </xf>
    <xf numFmtId="0" fontId="22" fillId="7" borderId="0" xfId="0" applyFont="1" applyFill="1" applyAlignment="1">
      <alignment vertical="center"/>
    </xf>
    <xf numFmtId="0" fontId="21" fillId="7" borderId="0" xfId="0" applyFont="1" applyFill="1" applyAlignment="1">
      <alignment vertical="center"/>
    </xf>
    <xf numFmtId="0" fontId="16" fillId="7" borderId="0" xfId="0" applyFont="1" applyFill="1" applyAlignment="1">
      <alignment vertical="center"/>
    </xf>
    <xf numFmtId="0" fontId="17" fillId="7" borderId="0" xfId="0" applyFont="1" applyFill="1" applyAlignment="1">
      <alignment vertical="center"/>
    </xf>
    <xf numFmtId="0" fontId="1" fillId="7" borderId="4" xfId="0" applyFont="1" applyFill="1" applyBorder="1" applyAlignment="1">
      <alignment vertical="center"/>
    </xf>
    <xf numFmtId="0" fontId="3" fillId="7" borderId="4" xfId="0" applyFont="1" applyFill="1" applyBorder="1" applyAlignment="1">
      <alignment vertical="center"/>
    </xf>
    <xf numFmtId="9" fontId="15" fillId="7" borderId="0" xfId="2" applyFont="1" applyFill="1" applyAlignment="1">
      <alignment vertical="center"/>
    </xf>
    <xf numFmtId="0" fontId="17" fillId="7" borderId="0" xfId="0" applyFont="1" applyFill="1" applyAlignment="1">
      <alignment horizontal="right" vertical="center"/>
    </xf>
    <xf numFmtId="0" fontId="2" fillId="7" borderId="0" xfId="0" applyFont="1" applyFill="1" applyAlignment="1">
      <alignment horizontal="right" vertical="center"/>
    </xf>
    <xf numFmtId="9" fontId="1" fillId="7" borderId="0" xfId="2" applyFont="1" applyFill="1" applyAlignment="1">
      <alignment vertical="center"/>
    </xf>
    <xf numFmtId="0" fontId="17" fillId="7" borderId="5" xfId="0" applyFont="1" applyFill="1" applyBorder="1" applyAlignment="1">
      <alignment vertical="center"/>
    </xf>
    <xf numFmtId="0" fontId="17" fillId="7" borderId="5" xfId="0" applyFont="1" applyFill="1" applyBorder="1" applyAlignment="1">
      <alignment horizontal="right" vertical="center"/>
    </xf>
    <xf numFmtId="0" fontId="3" fillId="7" borderId="0" xfId="0" applyFont="1" applyFill="1" applyAlignment="1">
      <alignment horizontal="right" vertical="center"/>
    </xf>
    <xf numFmtId="0" fontId="18" fillId="7" borderId="0" xfId="0" applyFont="1" applyFill="1" applyAlignment="1">
      <alignment vertical="center"/>
    </xf>
    <xf numFmtId="0" fontId="7" fillId="7" borderId="0" xfId="0" applyFont="1" applyFill="1" applyAlignment="1"/>
    <xf numFmtId="0" fontId="10" fillId="7" borderId="0" xfId="0" applyFont="1" applyFill="1" applyAlignment="1"/>
    <xf numFmtId="0" fontId="12" fillId="7" borderId="0" xfId="0" applyFont="1" applyFill="1" applyAlignment="1">
      <alignment vertical="center"/>
    </xf>
    <xf numFmtId="0" fontId="11" fillId="7" borderId="0" xfId="0" applyFont="1" applyFill="1" applyAlignment="1"/>
    <xf numFmtId="165" fontId="9" fillId="7" borderId="0" xfId="0" applyNumberFormat="1" applyFont="1" applyFill="1" applyBorder="1" applyAlignment="1">
      <alignment horizontal="right"/>
    </xf>
    <xf numFmtId="0" fontId="3" fillId="7" borderId="0" xfId="0" applyNumberFormat="1" applyFont="1" applyFill="1" applyAlignment="1">
      <alignment vertical="center"/>
    </xf>
    <xf numFmtId="10" fontId="3" fillId="7" borderId="0" xfId="0" applyNumberFormat="1" applyFont="1" applyFill="1" applyAlignment="1">
      <alignment vertical="center"/>
    </xf>
    <xf numFmtId="0" fontId="1" fillId="7" borderId="2" xfId="0" applyFont="1" applyFill="1" applyBorder="1" applyAlignment="1">
      <alignment vertical="center"/>
    </xf>
    <xf numFmtId="0" fontId="24" fillId="7" borderId="0" xfId="0" applyFont="1" applyFill="1" applyAlignment="1">
      <alignment vertical="center"/>
    </xf>
    <xf numFmtId="2" fontId="1" fillId="7" borderId="2" xfId="0" applyNumberFormat="1" applyFont="1" applyFill="1" applyBorder="1" applyAlignment="1">
      <alignment vertical="center"/>
    </xf>
    <xf numFmtId="2" fontId="2" fillId="7" borderId="0" xfId="0" applyNumberFormat="1" applyFont="1" applyFill="1" applyAlignment="1">
      <alignment vertical="center"/>
    </xf>
    <xf numFmtId="0" fontId="5" fillId="7" borderId="0" xfId="0" applyFont="1" applyFill="1" applyAlignment="1">
      <alignment horizontal="left" vertical="center" indent="2"/>
    </xf>
    <xf numFmtId="2" fontId="3" fillId="7" borderId="0" xfId="0" applyNumberFormat="1" applyFont="1" applyFill="1" applyAlignment="1">
      <alignment vertical="center"/>
    </xf>
    <xf numFmtId="164" fontId="1" fillId="7" borderId="0" xfId="2" applyNumberFormat="1" applyFont="1" applyFill="1" applyAlignment="1">
      <alignment vertical="center"/>
    </xf>
    <xf numFmtId="164" fontId="1" fillId="7" borderId="0" xfId="0" applyNumberFormat="1" applyFont="1" applyFill="1" applyAlignment="1">
      <alignment vertical="center"/>
    </xf>
    <xf numFmtId="164" fontId="15" fillId="7" borderId="0" xfId="2" applyNumberFormat="1" applyFont="1" applyFill="1" applyAlignment="1">
      <alignment vertical="center"/>
    </xf>
    <xf numFmtId="0" fontId="1" fillId="7" borderId="0" xfId="0" applyFont="1" applyFill="1" applyAlignment="1">
      <alignment horizontal="left" vertical="center" indent="2"/>
    </xf>
    <xf numFmtId="2" fontId="5" fillId="7" borderId="0" xfId="0" applyNumberFormat="1" applyFont="1" applyFill="1" applyAlignment="1">
      <alignment vertical="center"/>
    </xf>
    <xf numFmtId="4" fontId="2" fillId="7" borderId="0" xfId="0" applyNumberFormat="1" applyFont="1" applyFill="1" applyAlignment="1">
      <alignment vertical="center"/>
    </xf>
    <xf numFmtId="0" fontId="25" fillId="7" borderId="0" xfId="0" applyFont="1" applyFill="1" applyAlignment="1">
      <alignment vertical="center"/>
    </xf>
    <xf numFmtId="0" fontId="26" fillId="7" borderId="0" xfId="0" applyFont="1" applyFill="1" applyAlignment="1">
      <alignment vertical="center"/>
    </xf>
    <xf numFmtId="0" fontId="0" fillId="7" borderId="0" xfId="0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4" fontId="9" fillId="5" borderId="0" xfId="0" applyNumberFormat="1" applyFont="1" applyFill="1" applyBorder="1" applyAlignment="1">
      <alignment horizontal="right"/>
    </xf>
    <xf numFmtId="9" fontId="9" fillId="2" borderId="0" xfId="2" applyFont="1" applyFill="1" applyBorder="1" applyAlignment="1">
      <alignment horizontal="right"/>
    </xf>
    <xf numFmtId="0" fontId="16" fillId="0" borderId="0" xfId="0" applyFont="1" applyAlignment="1">
      <alignment vertical="center"/>
    </xf>
    <xf numFmtId="9" fontId="5" fillId="7" borderId="0" xfId="2" applyFont="1" applyFill="1" applyAlignment="1">
      <alignment vertical="center"/>
    </xf>
    <xf numFmtId="0" fontId="29" fillId="7" borderId="0" xfId="0" applyFont="1" applyFill="1" applyAlignment="1">
      <alignment vertical="center"/>
    </xf>
    <xf numFmtId="0" fontId="30" fillId="7" borderId="0" xfId="0" applyFont="1" applyFill="1" applyAlignment="1">
      <alignment vertical="center"/>
    </xf>
    <xf numFmtId="0" fontId="2" fillId="7" borderId="0" xfId="0" applyFont="1" applyFill="1" applyAlignment="1"/>
    <xf numFmtId="164" fontId="25" fillId="7" borderId="0" xfId="2" applyNumberFormat="1" applyFont="1" applyFill="1" applyAlignment="1">
      <alignment vertical="center"/>
    </xf>
    <xf numFmtId="164" fontId="1" fillId="7" borderId="0" xfId="2" applyNumberFormat="1" applyFont="1" applyFill="1" applyAlignment="1"/>
    <xf numFmtId="164" fontId="1" fillId="7" borderId="0" xfId="0" applyNumberFormat="1" applyFont="1" applyFill="1" applyAlignment="1">
      <alignment vertical="top"/>
    </xf>
    <xf numFmtId="0" fontId="2" fillId="7" borderId="0" xfId="0" applyFont="1" applyFill="1" applyAlignment="1">
      <alignment wrapText="1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 wrapText="1"/>
    </xf>
    <xf numFmtId="0" fontId="2" fillId="8" borderId="0" xfId="0" applyFont="1" applyFill="1" applyAlignment="1">
      <alignment vertical="center"/>
    </xf>
    <xf numFmtId="0" fontId="5" fillId="8" borderId="0" xfId="0" applyFont="1" applyFill="1" applyAlignment="1">
      <alignment vertical="center"/>
    </xf>
    <xf numFmtId="0" fontId="5" fillId="7" borderId="0" xfId="0" applyFont="1" applyFill="1">
      <alignment vertical="center" wrapText="1"/>
    </xf>
    <xf numFmtId="4" fontId="5" fillId="7" borderId="0" xfId="0" applyNumberFormat="1" applyFont="1" applyFill="1" applyAlignment="1">
      <alignment vertical="center"/>
    </xf>
    <xf numFmtId="9" fontId="5" fillId="7" borderId="0" xfId="0" applyNumberFormat="1" applyFont="1" applyFill="1" applyAlignment="1">
      <alignment vertical="center"/>
    </xf>
    <xf numFmtId="10" fontId="2" fillId="7" borderId="0" xfId="2" applyNumberFormat="1" applyFont="1" applyFill="1" applyAlignment="1">
      <alignment vertical="center"/>
    </xf>
    <xf numFmtId="4" fontId="5" fillId="7" borderId="0" xfId="0" applyNumberFormat="1" applyFont="1" applyFill="1">
      <alignment vertical="center" wrapText="1"/>
    </xf>
    <xf numFmtId="9" fontId="5" fillId="7" borderId="0" xfId="0" applyNumberFormat="1" applyFont="1" applyFill="1">
      <alignment vertical="center" wrapText="1"/>
    </xf>
    <xf numFmtId="0" fontId="5" fillId="7" borderId="0" xfId="2" applyNumberFormat="1" applyFont="1" applyFill="1" applyAlignment="1">
      <alignment vertical="center"/>
    </xf>
    <xf numFmtId="0" fontId="31" fillId="7" borderId="0" xfId="0" applyFont="1" applyFill="1" applyAlignment="1">
      <alignment vertical="center"/>
    </xf>
    <xf numFmtId="9" fontId="20" fillId="6" borderId="1" xfId="2" applyFont="1" applyFill="1" applyBorder="1" applyAlignment="1">
      <alignment horizontal="right"/>
    </xf>
    <xf numFmtId="0" fontId="2" fillId="7" borderId="0" xfId="0" applyFont="1" applyFill="1">
      <alignment vertical="center" wrapText="1"/>
    </xf>
    <xf numFmtId="10" fontId="2" fillId="7" borderId="0" xfId="2" applyNumberFormat="1" applyFont="1" applyFill="1" applyAlignment="1">
      <alignment vertical="center" wrapText="1"/>
    </xf>
    <xf numFmtId="4" fontId="15" fillId="7" borderId="0" xfId="0" applyNumberFormat="1" applyFont="1" applyFill="1" applyAlignment="1">
      <alignment vertical="center"/>
    </xf>
    <xf numFmtId="2" fontId="1" fillId="7" borderId="0" xfId="0" applyNumberFormat="1" applyFont="1" applyFill="1" applyAlignment="1">
      <alignment vertical="top"/>
    </xf>
    <xf numFmtId="2" fontId="25" fillId="7" borderId="0" xfId="2" applyNumberFormat="1" applyFont="1" applyFill="1" applyAlignment="1">
      <alignment vertical="center"/>
    </xf>
    <xf numFmtId="2" fontId="5" fillId="7" borderId="0" xfId="2" applyNumberFormat="1" applyFont="1" applyFill="1" applyAlignment="1">
      <alignment vertical="center"/>
    </xf>
    <xf numFmtId="2" fontId="25" fillId="7" borderId="0" xfId="0" applyNumberFormat="1" applyFont="1" applyFill="1" applyAlignment="1">
      <alignment vertical="center"/>
    </xf>
    <xf numFmtId="164" fontId="8" fillId="2" borderId="0" xfId="2" applyNumberFormat="1" applyFont="1" applyFill="1" applyBorder="1" applyAlignment="1"/>
    <xf numFmtId="0" fontId="32" fillId="7" borderId="0" xfId="0" applyFont="1" applyFill="1" applyAlignment="1">
      <alignment vertical="center"/>
    </xf>
    <xf numFmtId="0" fontId="1" fillId="7" borderId="0" xfId="0" applyFont="1" applyFill="1" applyAlignment="1"/>
    <xf numFmtId="164" fontId="32" fillId="7" borderId="0" xfId="0" applyNumberFormat="1" applyFont="1" applyFill="1" applyAlignment="1">
      <alignment vertical="center"/>
    </xf>
    <xf numFmtId="165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/>
    </xf>
    <xf numFmtId="166" fontId="1" fillId="7" borderId="0" xfId="4" applyNumberFormat="1" applyFont="1" applyFill="1" applyAlignment="1">
      <alignment vertical="center"/>
    </xf>
    <xf numFmtId="165" fontId="5" fillId="7" borderId="0" xfId="0" applyNumberFormat="1" applyFont="1" applyFill="1" applyAlignment="1">
      <alignment vertical="center"/>
    </xf>
    <xf numFmtId="164" fontId="9" fillId="2" borderId="1" xfId="2" applyNumberFormat="1" applyFont="1" applyFill="1" applyBorder="1" applyAlignment="1"/>
    <xf numFmtId="167" fontId="9" fillId="2" borderId="1" xfId="2" applyNumberFormat="1" applyFont="1" applyFill="1" applyBorder="1" applyAlignment="1"/>
    <xf numFmtId="164" fontId="9" fillId="2" borderId="0" xfId="2" applyNumberFormat="1" applyFont="1" applyFill="1" applyBorder="1" applyAlignment="1"/>
    <xf numFmtId="167" fontId="19" fillId="6" borderId="1" xfId="0" applyNumberFormat="1" applyFont="1" applyFill="1" applyBorder="1" applyAlignment="1">
      <alignment horizontal="right"/>
    </xf>
    <xf numFmtId="0" fontId="33" fillId="7" borderId="0" xfId="0" applyFont="1" applyFill="1" applyAlignment="1">
      <alignment vertical="center"/>
    </xf>
    <xf numFmtId="168" fontId="19" fillId="6" borderId="1" xfId="0" applyNumberFormat="1" applyFont="1" applyFill="1" applyBorder="1" applyAlignment="1">
      <alignment horizontal="right"/>
    </xf>
    <xf numFmtId="0" fontId="34" fillId="7" borderId="0" xfId="0" applyFont="1" applyFill="1" applyAlignment="1">
      <alignment vertical="center"/>
    </xf>
    <xf numFmtId="2" fontId="31" fillId="7" borderId="0" xfId="0" applyNumberFormat="1" applyFont="1" applyFill="1" applyAlignment="1">
      <alignment vertical="center"/>
    </xf>
    <xf numFmtId="0" fontId="34" fillId="7" borderId="0" xfId="0" applyFont="1" applyFill="1" applyAlignment="1">
      <alignment horizontal="right" vertical="center"/>
    </xf>
    <xf numFmtId="164" fontId="15" fillId="7" borderId="5" xfId="2" applyNumberFormat="1" applyFont="1" applyFill="1" applyBorder="1" applyAlignment="1">
      <alignment vertical="center"/>
    </xf>
    <xf numFmtId="169" fontId="2" fillId="7" borderId="0" xfId="0" applyNumberFormat="1" applyFont="1" applyFill="1" applyAlignment="1">
      <alignment vertical="center"/>
    </xf>
    <xf numFmtId="2" fontId="2" fillId="0" borderId="0" xfId="0" applyNumberFormat="1" applyFont="1" applyFill="1" applyAlignment="1">
      <alignment vertical="center"/>
    </xf>
    <xf numFmtId="0" fontId="25" fillId="7" borderId="0" xfId="0" applyFont="1" applyFill="1" applyAlignment="1">
      <alignment vertical="center" wrapText="1"/>
    </xf>
    <xf numFmtId="0" fontId="5" fillId="7" borderId="0" xfId="0" applyFont="1" applyFill="1" applyAlignment="1">
      <alignment vertical="center" wrapText="1"/>
    </xf>
    <xf numFmtId="0" fontId="1" fillId="7" borderId="0" xfId="0" applyFont="1" applyFill="1" applyAlignment="1">
      <alignment vertical="center" wrapText="1"/>
    </xf>
    <xf numFmtId="0" fontId="15" fillId="7" borderId="0" xfId="0" applyFont="1" applyFill="1" applyAlignment="1">
      <alignment vertical="center" wrapText="1"/>
    </xf>
    <xf numFmtId="9" fontId="9" fillId="2" borderId="0" xfId="2" applyFont="1" applyFill="1" applyBorder="1" applyAlignment="1"/>
    <xf numFmtId="169" fontId="2" fillId="0" borderId="0" xfId="0" applyNumberFormat="1" applyFont="1" applyFill="1" applyAlignment="1">
      <alignment vertical="center"/>
    </xf>
    <xf numFmtId="2" fontId="5" fillId="7" borderId="0" xfId="0" applyNumberFormat="1" applyFont="1" applyFill="1">
      <alignment vertical="center" wrapText="1"/>
    </xf>
    <xf numFmtId="0" fontId="0" fillId="7" borderId="0" xfId="0" applyFill="1" applyAlignment="1">
      <alignment horizontal="left" vertical="center" wrapText="1"/>
    </xf>
    <xf numFmtId="0" fontId="2" fillId="7" borderId="0" xfId="0" applyFont="1" applyFill="1" applyAlignment="1">
      <alignment horizontal="left" vertical="center" wrapText="1"/>
    </xf>
    <xf numFmtId="0" fontId="3" fillId="7" borderId="0" xfId="0" applyFont="1" applyFill="1" applyAlignment="1">
      <alignment horizontal="left" vertical="center" wrapText="1"/>
    </xf>
    <xf numFmtId="0" fontId="12" fillId="7" borderId="0" xfId="0" applyFont="1" applyFill="1" applyAlignment="1">
      <alignment horizontal="left" wrapText="1"/>
    </xf>
    <xf numFmtId="2" fontId="2" fillId="7" borderId="0" xfId="0" applyNumberFormat="1" applyFont="1" applyFill="1">
      <alignment vertical="center" wrapText="1"/>
    </xf>
    <xf numFmtId="169" fontId="2" fillId="7" borderId="0" xfId="0" applyNumberFormat="1" applyFont="1" applyFill="1">
      <alignment vertical="center" wrapText="1"/>
    </xf>
    <xf numFmtId="177" fontId="1" fillId="7" borderId="0" xfId="4" applyNumberFormat="1" applyFont="1" applyFill="1" applyAlignment="1">
      <alignment vertical="center"/>
    </xf>
    <xf numFmtId="4" fontId="5" fillId="0" borderId="0" xfId="0" applyNumberFormat="1" applyFont="1" applyFill="1">
      <alignment vertical="center" wrapText="1"/>
    </xf>
    <xf numFmtId="0" fontId="35" fillId="7" borderId="0" xfId="0" applyFont="1" applyFill="1">
      <alignment vertical="center" wrapText="1"/>
    </xf>
    <xf numFmtId="169" fontId="5" fillId="7" borderId="0" xfId="0" applyNumberFormat="1" applyFont="1" applyFill="1" applyAlignment="1">
      <alignment vertical="center"/>
    </xf>
    <xf numFmtId="165" fontId="5" fillId="7" borderId="0" xfId="0" applyNumberFormat="1" applyFont="1" applyFill="1">
      <alignment vertical="center" wrapText="1"/>
    </xf>
    <xf numFmtId="165" fontId="5" fillId="0" borderId="0" xfId="0" applyNumberFormat="1" applyFont="1" applyFill="1">
      <alignment vertical="center" wrapText="1"/>
    </xf>
  </cellXfs>
  <cellStyles count="5">
    <cellStyle name="Відсотковий" xfId="2" builtinId="5"/>
    <cellStyle name="Звичайний" xfId="0" builtinId="0" customBuiltin="1"/>
    <cellStyle name="Обычный 2" xfId="3"/>
    <cellStyle name="Обычный 2 2" xfId="1"/>
    <cellStyle name="Фінансовий" xfId="4" builtinId="3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ont>
        <b/>
        <i val="0"/>
      </font>
    </dxf>
    <dxf>
      <font>
        <b/>
        <i val="0"/>
      </font>
    </dxf>
    <dxf>
      <font>
        <b/>
        <i val="0"/>
        <color theme="1"/>
      </font>
      <border>
        <bottom style="medium">
          <color theme="2"/>
        </bottom>
      </border>
    </dxf>
    <dxf>
      <font>
        <b/>
        <i val="0"/>
        <color theme="2"/>
      </font>
      <border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>
        <bottom style="thin">
          <color theme="1" tint="0.59996337778862885"/>
        </bottom>
        <vertical style="thin">
          <color theme="1" tint="0.59996337778862885"/>
        </vertical>
        <horizontal style="thin">
          <color theme="1" tint="0.59996337778862885"/>
        </horizontal>
      </border>
    </dxf>
    <dxf>
      <fill>
        <patternFill>
          <bgColor theme="7" tint="0.79998168889431442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border>
        <bottom style="medium">
          <color theme="6"/>
        </bottom>
      </border>
    </dxf>
    <dxf>
      <font>
        <b/>
        <i val="0"/>
        <color theme="6"/>
      </font>
      <fill>
        <patternFill patternType="none">
          <fgColor indexed="64"/>
          <bgColor auto="1"/>
        </patternFill>
      </fill>
      <border>
        <left/>
        <right/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</dxf>
    <dxf>
      <border>
        <left/>
        <right/>
        <top style="thin">
          <color theme="1" tint="0.39994506668294322"/>
        </top>
        <bottom style="thin">
          <color theme="1" tint="0.39994506668294322"/>
        </bottom>
        <vertical style="thin">
          <color theme="1" tint="0.39994506668294322"/>
        </vertical>
        <horizontal style="thin">
          <color theme="1" tint="0.39994506668294322"/>
        </horizontal>
      </border>
    </dxf>
  </dxfs>
  <tableStyles count="2" defaultTableStyle="NBU table green" defaultPivotStyle="PivotStyleLight16">
    <tableStyle name="NBU table blue" pivot="0" count="6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secondRowStripe" dxfId="17"/>
    </tableStyle>
    <tableStyle name="NBU table green" pivot="0" count="6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secondRowStripe" dxfId="11"/>
    </tableStyle>
  </tableStyles>
  <colors>
    <mruColors>
      <color rgb="FFFFCCCC"/>
      <color rgb="FF5366B6"/>
      <color rgb="FF000000"/>
      <color rgb="FFFFCC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48869572208906E-2"/>
          <c:y val="4.5719782260498151E-2"/>
          <c:w val="0.86091728750614616"/>
          <c:h val="0.69188946470438029"/>
        </c:manualLayout>
      </c:layout>
      <c:areaChart>
        <c:grouping val="stacked"/>
        <c:varyColors val="0"/>
        <c:ser>
          <c:idx val="0"/>
          <c:order val="0"/>
          <c:tx>
            <c:strRef>
              <c:f>Normative_Perspective_Baseline!$M$120:$N$120</c:f>
              <c:strCache>
                <c:ptCount val="2"/>
                <c:pt idx="1">
                  <c:v>OCR (P1R+P2R+CBR)</c:v>
                </c:pt>
              </c:strCache>
            </c:strRef>
          </c:tx>
          <c:spPr>
            <a:solidFill>
              <a:srgbClr val="057D46">
                <a:alpha val="50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val>
            <c:numRef>
              <c:f>Normative_Perspective_Baseline!$O$120:$R$120</c:f>
              <c:numCache>
                <c:formatCode>0.0%</c:formatCode>
                <c:ptCount val="4"/>
                <c:pt idx="0">
                  <c:v>0.12000000000000001</c:v>
                </c:pt>
                <c:pt idx="1">
                  <c:v>0.13625000000000001</c:v>
                </c:pt>
                <c:pt idx="2">
                  <c:v>0.15250000000000002</c:v>
                </c:pt>
                <c:pt idx="3">
                  <c:v>0.15875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Normative_Perspective_Baseline!#REF!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335-4770-B3EE-6F098AA8AFF0}"/>
            </c:ext>
          </c:extLst>
        </c:ser>
        <c:ser>
          <c:idx val="1"/>
          <c:order val="1"/>
          <c:tx>
            <c:strRef>
              <c:f>Normative_Perspective_Baseline!$M$121:$N$121</c:f>
              <c:strCache>
                <c:ptCount val="2"/>
                <c:pt idx="1">
                  <c:v>P2G</c:v>
                </c:pt>
              </c:strCache>
            </c:strRef>
          </c:tx>
          <c:spPr>
            <a:solidFill>
              <a:srgbClr val="91C864">
                <a:alpha val="50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val>
            <c:numRef>
              <c:f>Normative_Perspective_Baseline!$O$121:$R$121</c:f>
              <c:numCache>
                <c:formatCode>0.0%</c:formatCode>
                <c:ptCount val="4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Normative_Perspective_Baseline!#REF!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335-4770-B3EE-6F098AA8AFF0}"/>
            </c:ext>
          </c:extLst>
        </c:ser>
        <c:ser>
          <c:idx val="2"/>
          <c:order val="2"/>
          <c:tx>
            <c:strRef>
              <c:f>Normative_Perspective_Baseline!$M$122:$N$122</c:f>
              <c:strCache>
                <c:ptCount val="2"/>
                <c:pt idx="1">
                  <c:v>Управлінський запас</c:v>
                </c:pt>
              </c:strCache>
            </c:strRef>
          </c:tx>
          <c:spPr>
            <a:solidFill>
              <a:srgbClr val="7D0532">
                <a:alpha val="50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val>
            <c:numRef>
              <c:f>Normative_Perspective_Baseline!$O$122:$R$122</c:f>
              <c:numCache>
                <c:formatCode>0.0%</c:formatCode>
                <c:ptCount val="4"/>
                <c:pt idx="0">
                  <c:v>1.4999999999999999E-2</c:v>
                </c:pt>
                <c:pt idx="1">
                  <c:v>1.4999999999999999E-2</c:v>
                </c:pt>
                <c:pt idx="2">
                  <c:v>1.4999999999999999E-2</c:v>
                </c:pt>
                <c:pt idx="3">
                  <c:v>1.4999999999999999E-2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Normative_Perspective_Baseline!#REF!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8335-4770-B3EE-6F098AA8A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7718736"/>
        <c:axId val="267719296"/>
      </c:areaChart>
      <c:lineChart>
        <c:grouping val="standard"/>
        <c:varyColors val="0"/>
        <c:ser>
          <c:idx val="3"/>
          <c:order val="3"/>
          <c:tx>
            <c:strRef>
              <c:f>Normative_Perspective_Baseline!$M$123:$N$123</c:f>
              <c:strCache>
                <c:ptCount val="2"/>
                <c:pt idx="1">
                  <c:v>Прогнозний Нрк</c:v>
                </c:pt>
              </c:strCache>
            </c:strRef>
          </c:tx>
          <c:spPr>
            <a:ln w="38100" cap="rnd" cmpd="sng">
              <a:solidFill>
                <a:srgbClr val="DC4B64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Normative_Perspective_Baseline!$O$123:$R$123</c:f>
              <c:numCache>
                <c:formatCode>0.0%</c:formatCode>
                <c:ptCount val="4"/>
                <c:pt idx="0">
                  <c:v>0.22388059701492538</c:v>
                </c:pt>
                <c:pt idx="1">
                  <c:v>0.2462926491150349</c:v>
                </c:pt>
                <c:pt idx="2">
                  <c:v>0.25628731845069114</c:v>
                </c:pt>
                <c:pt idx="3">
                  <c:v>0.27265089829368749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Normative_Perspective_Baseline!#REF!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8335-4770-B3EE-6F098AA8A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7718736"/>
        <c:axId val="267719296"/>
      </c:lineChart>
      <c:catAx>
        <c:axId val="267718736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12700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267719296"/>
        <c:crosses val="autoZero"/>
        <c:auto val="1"/>
        <c:lblAlgn val="ctr"/>
        <c:lblOffset val="100"/>
        <c:noMultiLvlLbl val="0"/>
      </c:catAx>
      <c:valAx>
        <c:axId val="26771929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.0%" sourceLinked="1"/>
        <c:majorTickMark val="in"/>
        <c:minorTickMark val="none"/>
        <c:tickLblPos val="low"/>
        <c:spPr>
          <a:noFill/>
          <a:ln w="12700">
            <a:noFill/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267718736"/>
        <c:crosses val="autoZero"/>
        <c:crossBetween val="between"/>
      </c:valAx>
      <c:spPr>
        <a:noFill/>
        <a:ln w="12700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5516144757306345"/>
          <c:w val="1"/>
          <c:h val="0.14296191299705194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4D4D4F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110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63739911094925"/>
          <c:y val="4.6031662214946922E-2"/>
          <c:w val="0.85692878687719942"/>
          <c:h val="0.66351232620324774"/>
        </c:manualLayout>
      </c:layout>
      <c:areaChart>
        <c:grouping val="stacked"/>
        <c:varyColors val="0"/>
        <c:ser>
          <c:idx val="0"/>
          <c:order val="0"/>
          <c:tx>
            <c:strRef>
              <c:f>Normative_Perspective_Baseline!$U$120:$V$120</c:f>
              <c:strCache>
                <c:ptCount val="2"/>
                <c:pt idx="1">
                  <c:v>OCR (P1R+P2R+CBR)</c:v>
                </c:pt>
              </c:strCache>
            </c:strRef>
          </c:tx>
          <c:spPr>
            <a:solidFill>
              <a:schemeClr val="accent1">
                <a:alpha val="50196"/>
              </a:schemeClr>
            </a:solidFill>
            <a:ln w="25400">
              <a:noFill/>
            </a:ln>
            <a:effectLst/>
          </c:spPr>
          <c:val>
            <c:numRef>
              <c:f>Normative_Perspective_Baseline!$W$120:$Z$120</c:f>
              <c:numCache>
                <c:formatCode>0.0%</c:formatCode>
                <c:ptCount val="4"/>
                <c:pt idx="0">
                  <c:v>7.6249999999999998E-2</c:v>
                </c:pt>
                <c:pt idx="1">
                  <c:v>9.2499999999999999E-2</c:v>
                </c:pt>
                <c:pt idx="2">
                  <c:v>0.10875</c:v>
                </c:pt>
                <c:pt idx="3">
                  <c:v>0.115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Normative_Perspective_Baseline!#REF!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DCF-7245-B16C-F5B50D602AE3}"/>
            </c:ext>
          </c:extLst>
        </c:ser>
        <c:ser>
          <c:idx val="1"/>
          <c:order val="1"/>
          <c:tx>
            <c:strRef>
              <c:f>Normative_Perspective_Baseline!$U$121:$V$121</c:f>
              <c:strCache>
                <c:ptCount val="2"/>
                <c:pt idx="1">
                  <c:v>P2G</c:v>
                </c:pt>
              </c:strCache>
            </c:strRef>
          </c:tx>
          <c:spPr>
            <a:solidFill>
              <a:schemeClr val="accent2">
                <a:alpha val="50196"/>
              </a:schemeClr>
            </a:solidFill>
            <a:ln w="25400">
              <a:noFill/>
            </a:ln>
            <a:effectLst/>
          </c:spPr>
          <c:val>
            <c:numRef>
              <c:f>Normative_Perspective_Baseline!$W$121:$Z$121</c:f>
              <c:numCache>
                <c:formatCode>0.0%</c:formatCode>
                <c:ptCount val="4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Normative_Perspective_Baseline!#REF!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DCF-7245-B16C-F5B50D602AE3}"/>
            </c:ext>
          </c:extLst>
        </c:ser>
        <c:ser>
          <c:idx val="2"/>
          <c:order val="2"/>
          <c:tx>
            <c:strRef>
              <c:f>Normative_Perspective_Baseline!$U$122:$V$122</c:f>
              <c:strCache>
                <c:ptCount val="2"/>
                <c:pt idx="1">
                  <c:v>Управлінський запас</c:v>
                </c:pt>
              </c:strCache>
            </c:strRef>
          </c:tx>
          <c:spPr>
            <a:solidFill>
              <a:schemeClr val="accent4">
                <a:lumMod val="75000"/>
                <a:alpha val="50196"/>
              </a:schemeClr>
            </a:solidFill>
            <a:ln w="25400">
              <a:noFill/>
            </a:ln>
            <a:effectLst/>
          </c:spPr>
          <c:val>
            <c:numRef>
              <c:f>Normative_Perspective_Baseline!$W$122:$Z$122</c:f>
              <c:numCache>
                <c:formatCode>0.0%</c:formatCode>
                <c:ptCount val="4"/>
                <c:pt idx="0">
                  <c:v>1.4999999999999999E-2</c:v>
                </c:pt>
                <c:pt idx="1">
                  <c:v>1.4999999999999999E-2</c:v>
                </c:pt>
                <c:pt idx="2">
                  <c:v>1.4999999999999999E-2</c:v>
                </c:pt>
                <c:pt idx="3">
                  <c:v>1.4999999999999999E-2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Normative_Perspective_Baseline!#REF!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7DCF-7245-B16C-F5B50D602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7723776"/>
        <c:axId val="267724336"/>
      </c:areaChart>
      <c:lineChart>
        <c:grouping val="standard"/>
        <c:varyColors val="0"/>
        <c:ser>
          <c:idx val="3"/>
          <c:order val="3"/>
          <c:tx>
            <c:strRef>
              <c:f>Normative_Perspective_Baseline!$U$123:$V$123</c:f>
              <c:strCache>
                <c:ptCount val="2"/>
                <c:pt idx="1">
                  <c:v>Прогноз НК1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Normative_Perspective_Baseline!$W$123:$Z$123</c:f>
              <c:numCache>
                <c:formatCode>0.0%</c:formatCode>
                <c:ptCount val="4"/>
                <c:pt idx="0">
                  <c:v>0.16417910447761194</c:v>
                </c:pt>
                <c:pt idx="1">
                  <c:v>0.19198831620089291</c:v>
                </c:pt>
                <c:pt idx="2">
                  <c:v>0.20864356837412851</c:v>
                </c:pt>
                <c:pt idx="3">
                  <c:v>0.22897196734431641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Normative_Perspective_Baseline!#REF!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7DCF-7245-B16C-F5B50D602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7723776"/>
        <c:axId val="267724336"/>
      </c:lineChart>
      <c:catAx>
        <c:axId val="267723776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12700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267724336"/>
        <c:crosses val="autoZero"/>
        <c:auto val="1"/>
        <c:lblAlgn val="ctr"/>
        <c:lblOffset val="100"/>
        <c:noMultiLvlLbl val="0"/>
      </c:catAx>
      <c:valAx>
        <c:axId val="267724336"/>
        <c:scaling>
          <c:orientation val="minMax"/>
          <c:max val="0.30000000000000004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.0%" sourceLinked="1"/>
        <c:majorTickMark val="in"/>
        <c:minorTickMark val="none"/>
        <c:tickLblPos val="low"/>
        <c:spPr>
          <a:noFill/>
          <a:ln w="12700">
            <a:noFill/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267723776"/>
        <c:crosses val="autoZero"/>
        <c:crossBetween val="between"/>
        <c:majorUnit val="5.000000000000001E-2"/>
      </c:valAx>
      <c:spPr>
        <a:noFill/>
        <a:ln w="12700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2823329064962836"/>
          <c:w val="1"/>
          <c:h val="0.16989031314584771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4D4D4F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110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63739911094925"/>
          <c:y val="4.6031662214946922E-2"/>
          <c:w val="0.85692878687719942"/>
          <c:h val="0.66351232620324774"/>
        </c:manualLayout>
      </c:layout>
      <c:areaChart>
        <c:grouping val="stacked"/>
        <c:varyColors val="0"/>
        <c:ser>
          <c:idx val="0"/>
          <c:order val="0"/>
          <c:tx>
            <c:strRef>
              <c:f>Normative_Perspective_Baseline!$AD$120:$AE$120</c:f>
              <c:strCache>
                <c:ptCount val="2"/>
                <c:pt idx="1">
                  <c:v>OCR (P1R+P2R+CBR)</c:v>
                </c:pt>
              </c:strCache>
            </c:strRef>
          </c:tx>
          <c:spPr>
            <a:solidFill>
              <a:schemeClr val="accent3">
                <a:shade val="58000"/>
              </a:schemeClr>
            </a:solidFill>
            <a:ln>
              <a:noFill/>
            </a:ln>
            <a:effectLst/>
          </c:spPr>
          <c:val>
            <c:numRef>
              <c:f>Normative_Perspective_Baseline!$AF$120:$AI$120</c:f>
              <c:numCache>
                <c:formatCode>0.0%</c:formatCode>
                <c:ptCount val="4"/>
                <c:pt idx="0">
                  <c:v>7.6249999999999998E-2</c:v>
                </c:pt>
                <c:pt idx="1">
                  <c:v>9.2499999999999999E-2</c:v>
                </c:pt>
                <c:pt idx="2">
                  <c:v>0.10875</c:v>
                </c:pt>
                <c:pt idx="3">
                  <c:v>0.115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93-43C8-81FC-AD27B217F010}"/>
            </c:ext>
          </c:extLst>
        </c:ser>
        <c:ser>
          <c:idx val="1"/>
          <c:order val="1"/>
          <c:tx>
            <c:strRef>
              <c:f>Normative_Perspective_Baseline!$U$121:$V$121</c:f>
              <c:strCache>
                <c:ptCount val="2"/>
                <c:pt idx="1">
                  <c:v>P2G</c:v>
                </c:pt>
              </c:strCache>
            </c:strRef>
          </c:tx>
          <c:spPr>
            <a:solidFill>
              <a:schemeClr val="accent3">
                <a:shade val="86000"/>
              </a:schemeClr>
            </a:solidFill>
            <a:ln>
              <a:noFill/>
            </a:ln>
            <a:effectLst/>
          </c:spPr>
          <c:val>
            <c:numRef>
              <c:f>Normative_Perspective_Baseline!$AF$121:$AI$121</c:f>
              <c:numCache>
                <c:formatCode>0.0%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1593-43C8-81FC-AD27B217F010}"/>
            </c:ext>
          </c:extLst>
        </c:ser>
        <c:ser>
          <c:idx val="2"/>
          <c:order val="2"/>
          <c:tx>
            <c:strRef>
              <c:f>Normative_Perspective_Baseline!$U$122:$V$122</c:f>
              <c:strCache>
                <c:ptCount val="2"/>
                <c:pt idx="1">
                  <c:v>Управлінський запас</c:v>
                </c:pt>
              </c:strCache>
            </c:strRef>
          </c:tx>
          <c:spPr>
            <a:solidFill>
              <a:schemeClr val="accent3">
                <a:tint val="86000"/>
              </a:schemeClr>
            </a:solidFill>
            <a:ln>
              <a:noFill/>
            </a:ln>
            <a:effectLst/>
          </c:spPr>
          <c:val>
            <c:numRef>
              <c:f>Normative_Perspective_Baseline!$AF$122:$AI$122</c:f>
              <c:numCache>
                <c:formatCode>0.0%</c:formatCode>
                <c:ptCount val="4"/>
                <c:pt idx="0">
                  <c:v>1.4999999999999999E-2</c:v>
                </c:pt>
                <c:pt idx="1">
                  <c:v>1.4999999999999999E-2</c:v>
                </c:pt>
                <c:pt idx="2">
                  <c:v>1.4999999999999999E-2</c:v>
                </c:pt>
                <c:pt idx="3">
                  <c:v>1.4999999999999999E-2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93-43C8-81FC-AD27B217F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7723776"/>
        <c:axId val="267724336"/>
      </c:areaChart>
      <c:lineChart>
        <c:grouping val="standard"/>
        <c:varyColors val="0"/>
        <c:ser>
          <c:idx val="3"/>
          <c:order val="3"/>
          <c:tx>
            <c:strRef>
              <c:f>Normative_Perspective_Baseline!$U$123:$V$123</c:f>
              <c:strCache>
                <c:ptCount val="2"/>
                <c:pt idx="1">
                  <c:v>Прогноз НК1</c:v>
                </c:pt>
              </c:strCache>
            </c:strRef>
          </c:tx>
          <c:spPr>
            <a:ln w="28575" cap="rnd">
              <a:solidFill>
                <a:schemeClr val="accent3">
                  <a:tint val="58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Normative_Perspective_Baseline!$AF$123:$AI$123</c:f>
              <c:numCache>
                <c:formatCode>0.0%</c:formatCode>
                <c:ptCount val="4"/>
                <c:pt idx="0">
                  <c:v>0.16417910447761194</c:v>
                </c:pt>
                <c:pt idx="1">
                  <c:v>0.19198831620089291</c:v>
                </c:pt>
                <c:pt idx="2">
                  <c:v>0.20864356837412851</c:v>
                </c:pt>
                <c:pt idx="3">
                  <c:v>0.22897196734431641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593-43C8-81FC-AD27B217F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7723776"/>
        <c:axId val="267724336"/>
      </c:lineChart>
      <c:catAx>
        <c:axId val="267723776"/>
        <c:scaling>
          <c:orientation val="minMax"/>
        </c:scaling>
        <c:delete val="1"/>
        <c:axPos val="b"/>
        <c:numFmt formatCode="@" sourceLinked="0"/>
        <c:majorTickMark val="in"/>
        <c:minorTickMark val="none"/>
        <c:tickLblPos val="low"/>
        <c:crossAx val="267724336"/>
        <c:crosses val="autoZero"/>
        <c:auto val="1"/>
        <c:lblAlgn val="ctr"/>
        <c:lblOffset val="100"/>
        <c:noMultiLvlLbl val="0"/>
      </c:catAx>
      <c:valAx>
        <c:axId val="267724336"/>
        <c:scaling>
          <c:orientation val="minMax"/>
          <c:max val="0.30000000000000004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.0%" sourceLinked="1"/>
        <c:majorTickMark val="in"/>
        <c:minorTickMark val="none"/>
        <c:tickLblPos val="low"/>
        <c:spPr>
          <a:noFill/>
          <a:ln w="12700">
            <a:noFill/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267723776"/>
        <c:crosses val="autoZero"/>
        <c:crossBetween val="between"/>
        <c:majorUnit val="5.000000000000001E-2"/>
      </c:valAx>
      <c:spPr>
        <a:noFill/>
        <a:ln w="12700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2823329064962836"/>
          <c:w val="1"/>
          <c:h val="0.16989031314584771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4D4D4F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110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31345785440612"/>
          <c:y val="4.5937865497076021E-2"/>
          <c:w val="0.86025287356321845"/>
          <c:h val="0.6776600877192982"/>
        </c:manualLayout>
      </c:layout>
      <c:areaChart>
        <c:grouping val="stacked"/>
        <c:varyColors val="0"/>
        <c:ser>
          <c:idx val="0"/>
          <c:order val="0"/>
          <c:tx>
            <c:strRef>
              <c:f>Normative_Perspective_Adverse!$J$141:$K$141</c:f>
              <c:strCache>
                <c:ptCount val="2"/>
                <c:pt idx="1">
                  <c:v>TSCR (P1R+P2R)</c:v>
                </c:pt>
              </c:strCache>
            </c:strRef>
          </c:tx>
          <c:spPr>
            <a:solidFill>
              <a:srgbClr val="057D46">
                <a:alpha val="50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val>
            <c:numRef>
              <c:f>Normative_Perspective_Adverse!$L$141:$O$141</c:f>
              <c:numCache>
                <c:formatCode>0.0%</c:formatCode>
                <c:ptCount val="4"/>
                <c:pt idx="0">
                  <c:v>0.12000000000000001</c:v>
                </c:pt>
                <c:pt idx="1">
                  <c:v>0.12000000000000001</c:v>
                </c:pt>
                <c:pt idx="2">
                  <c:v>0.12000000000000001</c:v>
                </c:pt>
                <c:pt idx="3">
                  <c:v>0.12000000000000001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Normative_Perspective_Adverse!#REF!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3C2-0A4D-926A-EF0A86DFC1D3}"/>
            </c:ext>
          </c:extLst>
        </c:ser>
        <c:ser>
          <c:idx val="1"/>
          <c:order val="1"/>
          <c:tx>
            <c:strRef>
              <c:f>Normative_Perspective_Adverse!$J$142:$K$142</c:f>
              <c:strCache>
                <c:ptCount val="2"/>
                <c:pt idx="1">
                  <c:v>P2G</c:v>
                </c:pt>
              </c:strCache>
            </c:strRef>
          </c:tx>
          <c:spPr>
            <a:solidFill>
              <a:srgbClr val="91C864">
                <a:alpha val="50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val>
            <c:numRef>
              <c:f>Normative_Perspective_Adverse!$L$142:$O$142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Normative_Perspective_Adverse!#REF!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3C2-0A4D-926A-EF0A86DFC1D3}"/>
            </c:ext>
          </c:extLst>
        </c:ser>
        <c:ser>
          <c:idx val="2"/>
          <c:order val="2"/>
          <c:tx>
            <c:strRef>
              <c:f>Normative_Perspective_Adverse!$J$143:$K$143</c:f>
              <c:strCache>
                <c:ptCount val="2"/>
                <c:pt idx="1">
                  <c:v>Управлінський запас</c:v>
                </c:pt>
              </c:strCache>
            </c:strRef>
          </c:tx>
          <c:spPr>
            <a:solidFill>
              <a:srgbClr val="7D0532">
                <a:alpha val="50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val>
            <c:numRef>
              <c:f>Normative_Perspective_Adverse!$L$143:$O$143</c:f>
              <c:numCache>
                <c:formatCode>0.0%</c:formatCode>
                <c:ptCount val="4"/>
                <c:pt idx="0">
                  <c:v>1.4999999999999999E-2</c:v>
                </c:pt>
                <c:pt idx="1">
                  <c:v>1.4999999999999999E-2</c:v>
                </c:pt>
                <c:pt idx="2">
                  <c:v>1.4999999999999999E-2</c:v>
                </c:pt>
                <c:pt idx="3">
                  <c:v>1.4999999999999999E-2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Normative_Perspective_Adverse!#REF!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73C2-0A4D-926A-EF0A86DFC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3929040"/>
        <c:axId val="263929600"/>
      </c:areaChart>
      <c:lineChart>
        <c:grouping val="standard"/>
        <c:varyColors val="0"/>
        <c:ser>
          <c:idx val="3"/>
          <c:order val="3"/>
          <c:tx>
            <c:strRef>
              <c:f>Normative_Perspective_Adverse!$J$144:$K$144</c:f>
              <c:strCache>
                <c:ptCount val="2"/>
                <c:pt idx="1">
                  <c:v>Розрахунковий Нрк</c:v>
                </c:pt>
              </c:strCache>
            </c:strRef>
          </c:tx>
          <c:spPr>
            <a:ln w="38100" cap="rnd" cmpd="sng">
              <a:solidFill>
                <a:srgbClr val="DC4B64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Normative_Perspective_Adverse!$L$144:$O$144</c:f>
              <c:numCache>
                <c:formatCode>0.0%</c:formatCode>
                <c:ptCount val="4"/>
                <c:pt idx="0">
                  <c:v>0.22388059701492538</c:v>
                </c:pt>
                <c:pt idx="1">
                  <c:v>0.15371880573784302</c:v>
                </c:pt>
                <c:pt idx="2">
                  <c:v>0.17325471441694931</c:v>
                </c:pt>
                <c:pt idx="3">
                  <c:v>0.2241566618761533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Normative_Perspective_Adverse!#REF!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73C2-0A4D-926A-EF0A86DFC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929040"/>
        <c:axId val="263929600"/>
      </c:lineChart>
      <c:catAx>
        <c:axId val="263929040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12700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263929600"/>
        <c:crosses val="autoZero"/>
        <c:auto val="1"/>
        <c:lblAlgn val="ctr"/>
        <c:lblOffset val="100"/>
        <c:noMultiLvlLbl val="0"/>
      </c:catAx>
      <c:valAx>
        <c:axId val="26392960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.0%" sourceLinked="1"/>
        <c:majorTickMark val="in"/>
        <c:minorTickMark val="none"/>
        <c:tickLblPos val="low"/>
        <c:spPr>
          <a:noFill/>
          <a:ln w="12700">
            <a:noFill/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263929040"/>
        <c:crosses val="autoZero"/>
        <c:crossBetween val="between"/>
      </c:valAx>
      <c:spPr>
        <a:noFill/>
        <a:ln w="12700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3.9813973084961873E-2"/>
          <c:y val="0.83858397371830251"/>
          <c:w val="0.95719582069430398"/>
          <c:h val="0.15953944372005383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4D4D4F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110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31345785440612"/>
          <c:y val="4.631814814814815E-2"/>
          <c:w val="0.86025287356321845"/>
          <c:h val="0.67223999999999995"/>
        </c:manualLayout>
      </c:layout>
      <c:areaChart>
        <c:grouping val="stacked"/>
        <c:varyColors val="0"/>
        <c:ser>
          <c:idx val="0"/>
          <c:order val="0"/>
          <c:tx>
            <c:strRef>
              <c:f>Normative_Perspective_Adverse!$J$141:$K$141</c:f>
              <c:strCache>
                <c:ptCount val="2"/>
                <c:pt idx="1">
                  <c:v>TSCR (P1R+P2R)</c:v>
                </c:pt>
              </c:strCache>
            </c:strRef>
          </c:tx>
          <c:spPr>
            <a:solidFill>
              <a:schemeClr val="accent1">
                <a:alpha val="50196"/>
              </a:schemeClr>
            </a:solidFill>
            <a:ln w="25400">
              <a:noFill/>
            </a:ln>
            <a:effectLst/>
          </c:spPr>
          <c:val>
            <c:numRef>
              <c:f>Normative_Perspective_Adverse!$T$141:$W$141</c:f>
              <c:numCache>
                <c:formatCode>0.0%</c:formatCode>
                <c:ptCount val="4"/>
                <c:pt idx="0">
                  <c:v>9.5000000000000001E-2</c:v>
                </c:pt>
                <c:pt idx="1">
                  <c:v>9.5000000000000001E-2</c:v>
                </c:pt>
                <c:pt idx="2">
                  <c:v>9.5000000000000001E-2</c:v>
                </c:pt>
                <c:pt idx="3">
                  <c:v>9.5000000000000001E-2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Normative_Perspective_Adverse!#REF!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342-C146-8B1C-86135A599D8A}"/>
            </c:ext>
          </c:extLst>
        </c:ser>
        <c:ser>
          <c:idx val="1"/>
          <c:order val="1"/>
          <c:tx>
            <c:strRef>
              <c:f>Normative_Perspective_Adverse!$J$142:$K$142</c:f>
              <c:strCache>
                <c:ptCount val="2"/>
                <c:pt idx="1">
                  <c:v>P2G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val>
            <c:numRef>
              <c:f>Normative_Perspective_Adverse!$T$142:$W$142</c:f>
              <c:numCache>
                <c:formatCode>0.0%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Normative_Perspective_Adverse!#REF!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342-C146-8B1C-86135A599D8A}"/>
            </c:ext>
          </c:extLst>
        </c:ser>
        <c:ser>
          <c:idx val="2"/>
          <c:order val="2"/>
          <c:tx>
            <c:strRef>
              <c:f>Normative_Perspective_Adverse!$J$143:$K$143</c:f>
              <c:strCache>
                <c:ptCount val="2"/>
                <c:pt idx="1">
                  <c:v>Управлінський запас</c:v>
                </c:pt>
              </c:strCache>
            </c:strRef>
          </c:tx>
          <c:spPr>
            <a:solidFill>
              <a:srgbClr val="5366B6">
                <a:alpha val="50196"/>
              </a:srgbClr>
            </a:solidFill>
            <a:ln w="25400">
              <a:noFill/>
            </a:ln>
            <a:effectLst/>
          </c:spPr>
          <c:val>
            <c:numRef>
              <c:f>Normative_Perspective_Adverse!$T$143:$W$143</c:f>
              <c:numCache>
                <c:formatCode>0.0%</c:formatCode>
                <c:ptCount val="4"/>
                <c:pt idx="0">
                  <c:v>1.4999999999999999E-2</c:v>
                </c:pt>
                <c:pt idx="1">
                  <c:v>1.4999999999999999E-2</c:v>
                </c:pt>
                <c:pt idx="2">
                  <c:v>1.4999999999999999E-2</c:v>
                </c:pt>
                <c:pt idx="3">
                  <c:v>1.4999999999999999E-2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Normative_Perspective_Adverse!#REF!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3342-C146-8B1C-86135A599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8960432"/>
        <c:axId val="268960992"/>
      </c:areaChart>
      <c:lineChart>
        <c:grouping val="standard"/>
        <c:varyColors val="0"/>
        <c:ser>
          <c:idx val="3"/>
          <c:order val="3"/>
          <c:tx>
            <c:strRef>
              <c:f>Normative_Perspective_Adverse!$S$144</c:f>
              <c:strCache>
                <c:ptCount val="1"/>
                <c:pt idx="0">
                  <c:v>Розрахунковий НК1</c:v>
                </c:pt>
              </c:strCache>
            </c:strRef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Normative_Perspective_Adverse!$T$144:$W$144</c:f>
              <c:numCache>
                <c:formatCode>0.0%</c:formatCode>
                <c:ptCount val="4"/>
                <c:pt idx="0">
                  <c:v>0.16417910447761194</c:v>
                </c:pt>
                <c:pt idx="1">
                  <c:v>9.5561479859896256E-2</c:v>
                </c:pt>
                <c:pt idx="2">
                  <c:v>0.12022747535048364</c:v>
                </c:pt>
                <c:pt idx="3">
                  <c:v>0.17355591642052684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Normative_Perspective_Adverse!#REF!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3342-C146-8B1C-86135A599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960432"/>
        <c:axId val="268960992"/>
      </c:lineChart>
      <c:catAx>
        <c:axId val="268960432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12700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268960992"/>
        <c:crosses val="autoZero"/>
        <c:auto val="1"/>
        <c:lblAlgn val="ctr"/>
        <c:lblOffset val="100"/>
        <c:noMultiLvlLbl val="0"/>
      </c:catAx>
      <c:valAx>
        <c:axId val="268960992"/>
        <c:scaling>
          <c:orientation val="minMax"/>
          <c:max val="0.30000000000000004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.0%" sourceLinked="1"/>
        <c:majorTickMark val="in"/>
        <c:minorTickMark val="none"/>
        <c:tickLblPos val="low"/>
        <c:spPr>
          <a:noFill/>
          <a:ln w="12700">
            <a:noFill/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268960432"/>
        <c:crosses val="autoZero"/>
        <c:crossBetween val="between"/>
      </c:valAx>
      <c:spPr>
        <a:noFill/>
        <a:ln w="12700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3.9813944577664274E-2"/>
          <c:y val="0.84770111111111113"/>
          <c:w val="0.95719582069430398"/>
          <c:h val="0.15042259259259258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4D4D4F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110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31345785440612"/>
          <c:y val="4.631814814814815E-2"/>
          <c:w val="0.86025287356321845"/>
          <c:h val="0.67223999999999995"/>
        </c:manualLayout>
      </c:layout>
      <c:areaChart>
        <c:grouping val="stacked"/>
        <c:varyColors val="0"/>
        <c:ser>
          <c:idx val="0"/>
          <c:order val="0"/>
          <c:tx>
            <c:strRef>
              <c:f>Normative_Perspective_Adverse!$J$141:$K$141</c:f>
              <c:strCache>
                <c:ptCount val="2"/>
                <c:pt idx="1">
                  <c:v>TSCR (P1R+P2R)</c:v>
                </c:pt>
              </c:strCache>
            </c:strRef>
          </c:tx>
          <c:spPr>
            <a:solidFill>
              <a:schemeClr val="accent3">
                <a:shade val="58000"/>
              </a:schemeClr>
            </a:solidFill>
            <a:ln>
              <a:noFill/>
            </a:ln>
            <a:effectLst/>
          </c:spPr>
          <c:cat>
            <c:strRef>
              <c:f>Normative_Perspective_Adverse!$AC$140:$AF$140</c:f>
              <c:strCache>
                <c:ptCount val="4"/>
                <c:pt idx="0">
                  <c:v>Факт</c:v>
                </c:pt>
                <c:pt idx="1">
                  <c:v>1-й рік</c:v>
                </c:pt>
                <c:pt idx="2">
                  <c:v>2-й рік</c:v>
                </c:pt>
                <c:pt idx="3">
                  <c:v>3-й рік</c:v>
                </c:pt>
              </c:strCache>
            </c:strRef>
          </c:cat>
          <c:val>
            <c:numRef>
              <c:f>Normative_Perspective_Adverse!$AC$141:$AF$141</c:f>
              <c:numCache>
                <c:formatCode>0.0%</c:formatCode>
                <c:ptCount val="4"/>
                <c:pt idx="0">
                  <c:v>7.6249999999999998E-2</c:v>
                </c:pt>
                <c:pt idx="1">
                  <c:v>7.6249999999999998E-2</c:v>
                </c:pt>
                <c:pt idx="2">
                  <c:v>7.6249999999999998E-2</c:v>
                </c:pt>
                <c:pt idx="3">
                  <c:v>7.6249999999999998E-2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16-4CA5-BB6B-9567BFA2F63F}"/>
            </c:ext>
          </c:extLst>
        </c:ser>
        <c:ser>
          <c:idx val="1"/>
          <c:order val="1"/>
          <c:tx>
            <c:strRef>
              <c:f>Normative_Perspective_Adverse!$J$142:$K$142</c:f>
              <c:strCache>
                <c:ptCount val="2"/>
                <c:pt idx="1">
                  <c:v>P2G</c:v>
                </c:pt>
              </c:strCache>
            </c:strRef>
          </c:tx>
          <c:spPr>
            <a:solidFill>
              <a:schemeClr val="accent3">
                <a:shade val="86000"/>
              </a:schemeClr>
            </a:solidFill>
            <a:ln>
              <a:noFill/>
            </a:ln>
            <a:effectLst/>
          </c:spPr>
          <c:cat>
            <c:strRef>
              <c:f>Normative_Perspective_Adverse!$AC$140:$AF$140</c:f>
              <c:strCache>
                <c:ptCount val="4"/>
                <c:pt idx="0">
                  <c:v>Факт</c:v>
                </c:pt>
                <c:pt idx="1">
                  <c:v>1-й рік</c:v>
                </c:pt>
                <c:pt idx="2">
                  <c:v>2-й рік</c:v>
                </c:pt>
                <c:pt idx="3">
                  <c:v>3-й рік</c:v>
                </c:pt>
              </c:strCache>
            </c:strRef>
          </c:cat>
          <c:val>
            <c:numRef>
              <c:f>Normative_Perspective_Adverse!$AC$142:$AF$142</c:f>
              <c:numCache>
                <c:formatCode>0.0%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16-4CA5-BB6B-9567BFA2F63F}"/>
            </c:ext>
          </c:extLst>
        </c:ser>
        <c:ser>
          <c:idx val="2"/>
          <c:order val="2"/>
          <c:tx>
            <c:strRef>
              <c:f>Normative_Perspective_Adverse!$J$143:$K$143</c:f>
              <c:strCache>
                <c:ptCount val="2"/>
                <c:pt idx="1">
                  <c:v>Управлінський запас</c:v>
                </c:pt>
              </c:strCache>
            </c:strRef>
          </c:tx>
          <c:spPr>
            <a:solidFill>
              <a:schemeClr val="accent3">
                <a:tint val="86000"/>
              </a:schemeClr>
            </a:solidFill>
            <a:ln>
              <a:noFill/>
            </a:ln>
            <a:effectLst/>
          </c:spPr>
          <c:cat>
            <c:strRef>
              <c:f>Normative_Perspective_Adverse!$AC$140:$AF$140</c:f>
              <c:strCache>
                <c:ptCount val="4"/>
                <c:pt idx="0">
                  <c:v>Факт</c:v>
                </c:pt>
                <c:pt idx="1">
                  <c:v>1-й рік</c:v>
                </c:pt>
                <c:pt idx="2">
                  <c:v>2-й рік</c:v>
                </c:pt>
                <c:pt idx="3">
                  <c:v>3-й рік</c:v>
                </c:pt>
              </c:strCache>
            </c:strRef>
          </c:cat>
          <c:val>
            <c:numRef>
              <c:f>Normative_Perspective_Adverse!$AC$143:$AF$143</c:f>
              <c:numCache>
                <c:formatCode>0.0%</c:formatCode>
                <c:ptCount val="4"/>
                <c:pt idx="0">
                  <c:v>1.4999999999999999E-2</c:v>
                </c:pt>
                <c:pt idx="1">
                  <c:v>1.4999999999999999E-2</c:v>
                </c:pt>
                <c:pt idx="2">
                  <c:v>1.4999999999999999E-2</c:v>
                </c:pt>
                <c:pt idx="3">
                  <c:v>1.4999999999999999E-2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16-4CA5-BB6B-9567BFA2F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8960432"/>
        <c:axId val="268960992"/>
      </c:areaChart>
      <c:lineChart>
        <c:grouping val="standard"/>
        <c:varyColors val="0"/>
        <c:ser>
          <c:idx val="3"/>
          <c:order val="3"/>
          <c:tx>
            <c:strRef>
              <c:f>Normative_Perspective_Adverse!$AB$144</c:f>
              <c:strCache>
                <c:ptCount val="1"/>
                <c:pt idx="0">
                  <c:v>Розрахунковий Нок1</c:v>
                </c:pt>
              </c:strCache>
            </c:strRef>
          </c:tx>
          <c:spPr>
            <a:ln w="28575" cap="rnd">
              <a:solidFill>
                <a:schemeClr val="accent3">
                  <a:tint val="58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Normative_Perspective_Adverse!#REF!</c:f>
            </c:multiLvlStrRef>
          </c:cat>
          <c:val>
            <c:numRef>
              <c:f>Normative_Perspective_Adverse!$AC$144:$AF$144</c:f>
              <c:numCache>
                <c:formatCode>0.0%</c:formatCode>
                <c:ptCount val="4"/>
                <c:pt idx="0">
                  <c:v>0.16417910447761194</c:v>
                </c:pt>
                <c:pt idx="1">
                  <c:v>9.5561479859896256E-2</c:v>
                </c:pt>
                <c:pt idx="2">
                  <c:v>0.12022747535048364</c:v>
                </c:pt>
                <c:pt idx="3">
                  <c:v>0.17355591642052684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16-4CA5-BB6B-9567BFA2F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960432"/>
        <c:axId val="268960992"/>
      </c:lineChart>
      <c:catAx>
        <c:axId val="268960432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12700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268960992"/>
        <c:crosses val="autoZero"/>
        <c:auto val="1"/>
        <c:lblAlgn val="ctr"/>
        <c:lblOffset val="100"/>
        <c:noMultiLvlLbl val="0"/>
      </c:catAx>
      <c:valAx>
        <c:axId val="268960992"/>
        <c:scaling>
          <c:orientation val="minMax"/>
          <c:max val="0.30000000000000004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.0%" sourceLinked="1"/>
        <c:majorTickMark val="in"/>
        <c:minorTickMark val="none"/>
        <c:tickLblPos val="low"/>
        <c:spPr>
          <a:noFill/>
          <a:ln w="12700">
            <a:noFill/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268960432"/>
        <c:crosses val="autoZero"/>
        <c:crossBetween val="between"/>
      </c:valAx>
      <c:spPr>
        <a:noFill/>
        <a:ln w="12700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3.9813944577664274E-2"/>
          <c:y val="0.84770111111111113"/>
          <c:w val="0.95719582069430398"/>
          <c:h val="0.15042259259259258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4D4D4F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110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326585</xdr:colOff>
      <xdr:row>125</xdr:row>
      <xdr:rowOff>110835</xdr:rowOff>
    </xdr:from>
    <xdr:to>
      <xdr:col>18</xdr:col>
      <xdr:colOff>415636</xdr:colOff>
      <xdr:row>147</xdr:row>
      <xdr:rowOff>27709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197427</xdr:colOff>
      <xdr:row>125</xdr:row>
      <xdr:rowOff>154711</xdr:rowOff>
    </xdr:from>
    <xdr:to>
      <xdr:col>26</xdr:col>
      <xdr:colOff>166254</xdr:colOff>
      <xdr:row>147</xdr:row>
      <xdr:rowOff>41565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416791</xdr:colOff>
      <xdr:row>125</xdr:row>
      <xdr:rowOff>39256</xdr:rowOff>
    </xdr:from>
    <xdr:to>
      <xdr:col>34</xdr:col>
      <xdr:colOff>385617</xdr:colOff>
      <xdr:row>146</xdr:row>
      <xdr:rowOff>87746</xdr:rowOff>
    </xdr:to>
    <xdr:graphicFrame macro="">
      <xdr:nvGraphicFramePr>
        <xdr:cNvPr id="5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417133</xdr:colOff>
      <xdr:row>144</xdr:row>
      <xdr:rowOff>129782</xdr:rowOff>
    </xdr:from>
    <xdr:to>
      <xdr:col>15</xdr:col>
      <xdr:colOff>535483</xdr:colOff>
      <xdr:row>164</xdr:row>
      <xdr:rowOff>122582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381000</xdr:colOff>
      <xdr:row>144</xdr:row>
      <xdr:rowOff>152400</xdr:rowOff>
    </xdr:from>
    <xdr:to>
      <xdr:col>23</xdr:col>
      <xdr:colOff>556500</xdr:colOff>
      <xdr:row>164</xdr:row>
      <xdr:rowOff>109200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381000</xdr:colOff>
      <xdr:row>144</xdr:row>
      <xdr:rowOff>152400</xdr:rowOff>
    </xdr:from>
    <xdr:to>
      <xdr:col>32</xdr:col>
      <xdr:colOff>556500</xdr:colOff>
      <xdr:row>164</xdr:row>
      <xdr:rowOff>109200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476683</xdr:colOff>
      <xdr:row>39</xdr:row>
      <xdr:rowOff>52336</xdr:rowOff>
    </xdr:from>
    <xdr:to>
      <xdr:col>16</xdr:col>
      <xdr:colOff>103261</xdr:colOff>
      <xdr:row>56</xdr:row>
      <xdr:rowOff>155932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50040" y="6538407"/>
          <a:ext cx="5722578" cy="2879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NBU colors">
      <a:dk1>
        <a:srgbClr val="4D4D4F"/>
      </a:dk1>
      <a:lt1>
        <a:srgbClr val="FFFFFF"/>
      </a:lt1>
      <a:dk2>
        <a:srgbClr val="4D4D4F"/>
      </a:dk2>
      <a:lt2>
        <a:srgbClr val="057C48"/>
      </a:lt2>
      <a:accent1>
        <a:srgbClr val="057C48"/>
      </a:accent1>
      <a:accent2>
        <a:srgbClr val="91CA64"/>
      </a:accent2>
      <a:accent3>
        <a:srgbClr val="50748A"/>
      </a:accent3>
      <a:accent4>
        <a:srgbClr val="919DD0"/>
      </a:accent4>
      <a:accent5>
        <a:srgbClr val="A3417C"/>
      </a:accent5>
      <a:accent6>
        <a:srgbClr val="CD76B0"/>
      </a:accent6>
      <a:hlink>
        <a:srgbClr val="50748A"/>
      </a:hlink>
      <a:folHlink>
        <a:srgbClr val="919DD0"/>
      </a:folHlink>
    </a:clrScheme>
    <a:fontScheme name="Настроювані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"/>
  <dimension ref="A1:P17"/>
  <sheetViews>
    <sheetView zoomScale="70" zoomScaleNormal="70" workbookViewId="0">
      <selection activeCell="A2" sqref="A2:P2"/>
    </sheetView>
  </sheetViews>
  <sheetFormatPr defaultColWidth="8.453125" defaultRowHeight="12.5" x14ac:dyDescent="0.25"/>
  <cols>
    <col min="1" max="16384" width="8.453125" style="19"/>
  </cols>
  <sheetData>
    <row r="1" spans="1:16" ht="13" x14ac:dyDescent="0.25">
      <c r="A1" s="18" t="s">
        <v>162</v>
      </c>
    </row>
    <row r="2" spans="1:16" ht="58.25" customHeight="1" x14ac:dyDescent="0.25">
      <c r="A2" s="125" t="s">
        <v>89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</row>
    <row r="4" spans="1:16" ht="13" x14ac:dyDescent="0.25">
      <c r="A4" s="18" t="s">
        <v>163</v>
      </c>
    </row>
    <row r="5" spans="1:16" ht="67.75" customHeight="1" x14ac:dyDescent="0.25">
      <c r="A5" s="125" t="s">
        <v>90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</row>
    <row r="7" spans="1:16" ht="13" x14ac:dyDescent="0.25">
      <c r="A7" s="18" t="s">
        <v>4</v>
      </c>
      <c r="B7" s="19" t="s">
        <v>91</v>
      </c>
    </row>
    <row r="8" spans="1:16" ht="13" x14ac:dyDescent="0.25">
      <c r="A8" s="18" t="s">
        <v>0</v>
      </c>
      <c r="B8" s="19" t="s">
        <v>104</v>
      </c>
    </row>
    <row r="9" spans="1:16" ht="13" x14ac:dyDescent="0.25">
      <c r="A9" s="18" t="s">
        <v>1</v>
      </c>
      <c r="B9" s="19" t="s">
        <v>105</v>
      </c>
    </row>
    <row r="10" spans="1:16" ht="13" x14ac:dyDescent="0.25">
      <c r="A10" s="18" t="s">
        <v>2</v>
      </c>
      <c r="B10" s="19" t="s">
        <v>106</v>
      </c>
    </row>
    <row r="11" spans="1:16" ht="13" x14ac:dyDescent="0.25">
      <c r="A11" s="18" t="s">
        <v>3</v>
      </c>
      <c r="B11" s="19" t="s">
        <v>103</v>
      </c>
    </row>
    <row r="12" spans="1:16" ht="13" x14ac:dyDescent="0.25">
      <c r="A12" s="18" t="s">
        <v>5</v>
      </c>
      <c r="B12" s="19" t="s">
        <v>102</v>
      </c>
    </row>
    <row r="14" spans="1:16" ht="13" x14ac:dyDescent="0.25">
      <c r="A14" s="18" t="s">
        <v>92</v>
      </c>
    </row>
    <row r="15" spans="1:16" x14ac:dyDescent="0.25">
      <c r="A15" s="3"/>
      <c r="B15" s="19" t="s">
        <v>93</v>
      </c>
    </row>
    <row r="16" spans="1:16" x14ac:dyDescent="0.25">
      <c r="A16" s="12"/>
      <c r="B16" s="19" t="s">
        <v>165</v>
      </c>
    </row>
    <row r="17" spans="1:2" ht="13" x14ac:dyDescent="0.3">
      <c r="A17" s="14"/>
      <c r="B17" s="66" t="s">
        <v>94</v>
      </c>
    </row>
  </sheetData>
  <mergeCells count="2">
    <mergeCell ref="A2:P2"/>
    <mergeCell ref="A5:P5"/>
  </mergeCell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2"/>
  <dimension ref="B1:AJ198"/>
  <sheetViews>
    <sheetView tabSelected="1" zoomScale="55" zoomScaleNormal="55" workbookViewId="0">
      <pane ySplit="1" topLeftCell="A41" activePane="bottomLeft" state="frozen"/>
      <selection pane="bottomLeft" activeCell="J136" sqref="J136"/>
    </sheetView>
  </sheetViews>
  <sheetFormatPr defaultColWidth="8.453125" defaultRowHeight="13" outlineLevelRow="1" x14ac:dyDescent="0.25"/>
  <cols>
    <col min="1" max="1" width="8.453125" style="21"/>
    <col min="2" max="2" width="30.08984375" style="21" customWidth="1"/>
    <col min="3" max="3" width="18.453125" style="21" customWidth="1"/>
    <col min="4" max="4" width="11.6328125" style="21" customWidth="1"/>
    <col min="5" max="5" width="9" style="21" bestFit="1" customWidth="1"/>
    <col min="6" max="8" width="8.453125" style="21"/>
    <col min="9" max="9" width="9.453125" style="20" customWidth="1"/>
    <col min="10" max="14" width="8.453125" style="21"/>
    <col min="15" max="16" width="9.453125" style="21" customWidth="1"/>
    <col min="17" max="16384" width="8.453125" style="21"/>
  </cols>
  <sheetData>
    <row r="1" spans="2:17" x14ac:dyDescent="0.25">
      <c r="B1" s="8" t="s">
        <v>69</v>
      </c>
      <c r="C1" s="9"/>
      <c r="D1" s="8"/>
      <c r="E1" s="10" t="s">
        <v>186</v>
      </c>
      <c r="F1" s="10" t="s">
        <v>183</v>
      </c>
      <c r="G1" s="10" t="s">
        <v>184</v>
      </c>
      <c r="H1" s="10" t="s">
        <v>185</v>
      </c>
      <c r="I1" s="20" t="s">
        <v>19</v>
      </c>
    </row>
    <row r="2" spans="2:17" ht="14" outlineLevel="1" x14ac:dyDescent="0.3">
      <c r="B2" s="43"/>
      <c r="D2" s="24"/>
      <c r="E2" s="48"/>
      <c r="F2" s="49"/>
      <c r="G2" s="49"/>
      <c r="H2" s="49"/>
    </row>
    <row r="3" spans="2:17" s="22" customFormat="1" outlineLevel="1" x14ac:dyDescent="0.3">
      <c r="B3" s="44" t="s">
        <v>11</v>
      </c>
      <c r="E3" s="4">
        <v>38</v>
      </c>
      <c r="F3" s="4">
        <v>38.4</v>
      </c>
      <c r="G3" s="4">
        <v>38.799999999999997</v>
      </c>
      <c r="H3" s="4">
        <v>39.200000000000003</v>
      </c>
      <c r="I3" s="62" t="s">
        <v>20</v>
      </c>
    </row>
    <row r="4" spans="2:17" s="22" customFormat="1" outlineLevel="1" x14ac:dyDescent="0.3">
      <c r="B4" s="44"/>
    </row>
    <row r="5" spans="2:17" s="22" customFormat="1" outlineLevel="1" x14ac:dyDescent="0.3">
      <c r="B5" s="44" t="s">
        <v>251</v>
      </c>
      <c r="F5" s="68">
        <v>0</v>
      </c>
      <c r="G5" s="68">
        <v>0</v>
      </c>
      <c r="H5" s="68">
        <v>0</v>
      </c>
      <c r="I5" s="62"/>
      <c r="J5" s="89"/>
    </row>
    <row r="6" spans="2:17" s="22" customFormat="1" outlineLevel="1" x14ac:dyDescent="0.3">
      <c r="B6" s="44"/>
      <c r="E6" s="47"/>
      <c r="F6" s="47"/>
      <c r="G6" s="47"/>
      <c r="H6" s="47"/>
      <c r="I6" s="20"/>
      <c r="O6" s="70"/>
      <c r="P6" s="70"/>
      <c r="Q6" s="70"/>
    </row>
    <row r="7" spans="2:17" outlineLevel="1" x14ac:dyDescent="0.25">
      <c r="B7" s="45" t="s">
        <v>87</v>
      </c>
      <c r="O7" s="102"/>
      <c r="P7" s="102"/>
      <c r="Q7" s="102"/>
    </row>
    <row r="8" spans="2:17" outlineLevel="1" x14ac:dyDescent="0.3">
      <c r="C8" s="46" t="s">
        <v>12</v>
      </c>
      <c r="E8" s="15">
        <v>0.2</v>
      </c>
      <c r="F8" s="15">
        <v>0.2</v>
      </c>
      <c r="G8" s="15">
        <v>0.2</v>
      </c>
      <c r="H8" s="15">
        <v>0.2</v>
      </c>
      <c r="I8" s="20" t="s">
        <v>21</v>
      </c>
      <c r="J8" s="99"/>
      <c r="O8" s="104"/>
      <c r="P8" s="104"/>
      <c r="Q8" s="104"/>
    </row>
    <row r="9" spans="2:17" outlineLevel="1" x14ac:dyDescent="0.3">
      <c r="C9" s="46" t="s">
        <v>13</v>
      </c>
      <c r="E9" s="15">
        <v>0.25</v>
      </c>
      <c r="F9" s="15">
        <v>0.25</v>
      </c>
      <c r="G9" s="15">
        <v>0.25</v>
      </c>
      <c r="H9" s="15">
        <v>0.25</v>
      </c>
      <c r="I9" s="20" t="s">
        <v>21</v>
      </c>
      <c r="O9" s="103"/>
      <c r="P9" s="103"/>
      <c r="Q9" s="103"/>
    </row>
    <row r="10" spans="2:17" outlineLevel="1" x14ac:dyDescent="0.25">
      <c r="B10" s="45" t="s">
        <v>14</v>
      </c>
      <c r="E10" s="57"/>
      <c r="F10" s="57"/>
      <c r="G10" s="57"/>
      <c r="H10" s="57"/>
      <c r="O10" s="38"/>
      <c r="P10" s="38"/>
      <c r="Q10" s="38"/>
    </row>
    <row r="11" spans="2:17" outlineLevel="1" x14ac:dyDescent="0.3">
      <c r="C11" s="46" t="s">
        <v>12</v>
      </c>
      <c r="E11" s="106">
        <v>0.18</v>
      </c>
      <c r="F11" s="106">
        <v>0.17</v>
      </c>
      <c r="G11" s="106">
        <v>0.15</v>
      </c>
      <c r="H11" s="106">
        <v>0.14000000000000001</v>
      </c>
      <c r="I11" s="20" t="s">
        <v>247</v>
      </c>
    </row>
    <row r="12" spans="2:17" outlineLevel="1" x14ac:dyDescent="0.3">
      <c r="C12" s="46" t="s">
        <v>13</v>
      </c>
      <c r="E12" s="106">
        <v>0.03</v>
      </c>
      <c r="F12" s="106">
        <v>0.03</v>
      </c>
      <c r="G12" s="106">
        <v>0.03</v>
      </c>
      <c r="H12" s="106">
        <v>0.03</v>
      </c>
      <c r="I12" s="62" t="s">
        <v>248</v>
      </c>
    </row>
    <row r="13" spans="2:17" outlineLevel="1" x14ac:dyDescent="0.25">
      <c r="B13" s="45" t="s">
        <v>15</v>
      </c>
      <c r="E13" s="101"/>
      <c r="F13" s="101"/>
      <c r="G13" s="101"/>
      <c r="H13" s="101"/>
    </row>
    <row r="14" spans="2:17" outlineLevel="1" x14ac:dyDescent="0.3">
      <c r="C14" s="46" t="s">
        <v>12</v>
      </c>
      <c r="E14" s="106">
        <v>0.11</v>
      </c>
      <c r="F14" s="106">
        <v>0.1</v>
      </c>
      <c r="G14" s="106">
        <v>0.08</v>
      </c>
      <c r="H14" s="106">
        <v>7.0000000000000007E-2</v>
      </c>
      <c r="I14" s="20" t="s">
        <v>22</v>
      </c>
    </row>
    <row r="15" spans="2:17" outlineLevel="1" x14ac:dyDescent="0.3">
      <c r="C15" s="46" t="s">
        <v>13</v>
      </c>
      <c r="E15" s="106">
        <v>5.0000000000000001E-3</v>
      </c>
      <c r="F15" s="106">
        <v>5.0000000000000001E-3</v>
      </c>
      <c r="G15" s="106">
        <v>5.0000000000000001E-3</v>
      </c>
      <c r="H15" s="106">
        <v>5.0000000000000001E-3</v>
      </c>
      <c r="I15" s="20" t="s">
        <v>23</v>
      </c>
    </row>
    <row r="16" spans="2:17" outlineLevel="1" x14ac:dyDescent="0.3">
      <c r="C16" s="46"/>
      <c r="E16" s="57"/>
      <c r="F16" s="57"/>
      <c r="G16" s="57"/>
      <c r="H16" s="57"/>
    </row>
    <row r="17" spans="2:9" outlineLevel="1" x14ac:dyDescent="0.3">
      <c r="B17" s="45" t="s">
        <v>220</v>
      </c>
      <c r="C17" s="46"/>
      <c r="E17" s="108">
        <v>0.13</v>
      </c>
      <c r="F17" s="108">
        <v>0.13</v>
      </c>
      <c r="G17" s="108">
        <v>0.12</v>
      </c>
      <c r="H17" s="108">
        <v>0.12</v>
      </c>
    </row>
    <row r="18" spans="2:9" outlineLevel="1" x14ac:dyDescent="0.3">
      <c r="B18" s="45" t="s">
        <v>172</v>
      </c>
      <c r="C18" s="46"/>
      <c r="E18" s="108">
        <v>0.08</v>
      </c>
      <c r="F18" s="108">
        <v>0.08</v>
      </c>
      <c r="G18" s="108">
        <v>7.0000000000000007E-2</v>
      </c>
      <c r="H18" s="108">
        <v>7.0000000000000007E-2</v>
      </c>
    </row>
    <row r="19" spans="2:9" outlineLevel="1" x14ac:dyDescent="0.3">
      <c r="C19" s="46"/>
      <c r="E19" s="57"/>
      <c r="F19" s="57"/>
      <c r="G19" s="57"/>
      <c r="H19" s="57"/>
    </row>
    <row r="20" spans="2:9" outlineLevel="1" x14ac:dyDescent="0.25">
      <c r="B20" s="45" t="s">
        <v>16</v>
      </c>
      <c r="E20" s="122">
        <v>-0.15</v>
      </c>
      <c r="F20" s="122">
        <v>2.9000000000000001E-2</v>
      </c>
      <c r="G20" s="122">
        <v>3.5000000000000003E-2</v>
      </c>
      <c r="H20" s="122">
        <v>6.8000000000000005E-2</v>
      </c>
      <c r="I20" s="20" t="s">
        <v>24</v>
      </c>
    </row>
    <row r="21" spans="2:9" outlineLevel="1" x14ac:dyDescent="0.25">
      <c r="E21" s="57"/>
      <c r="F21" s="57"/>
      <c r="G21" s="57"/>
      <c r="H21" s="57"/>
    </row>
    <row r="22" spans="2:9" outlineLevel="1" x14ac:dyDescent="0.25">
      <c r="B22" s="45" t="s">
        <v>223</v>
      </c>
      <c r="E22" s="57"/>
      <c r="I22" s="21"/>
    </row>
    <row r="23" spans="2:9" outlineLevel="1" x14ac:dyDescent="0.3">
      <c r="B23" s="45"/>
      <c r="C23" s="46" t="s">
        <v>12</v>
      </c>
      <c r="E23" s="57"/>
      <c r="F23" s="106">
        <v>0.12</v>
      </c>
      <c r="G23" s="106">
        <v>0.11</v>
      </c>
      <c r="H23" s="106">
        <v>0.12</v>
      </c>
    </row>
    <row r="24" spans="2:9" outlineLevel="1" x14ac:dyDescent="0.3">
      <c r="B24" s="45"/>
      <c r="C24" s="46" t="s">
        <v>13</v>
      </c>
      <c r="E24" s="57"/>
      <c r="F24" s="106">
        <v>0.05</v>
      </c>
      <c r="G24" s="106">
        <v>0.05</v>
      </c>
      <c r="H24" s="106">
        <v>0.08</v>
      </c>
    </row>
    <row r="25" spans="2:9" outlineLevel="1" x14ac:dyDescent="0.25">
      <c r="B25" s="45" t="s">
        <v>18</v>
      </c>
      <c r="E25" s="57"/>
      <c r="F25" s="106">
        <v>0.06</v>
      </c>
      <c r="G25" s="106">
        <v>7.0000000000000007E-2</v>
      </c>
      <c r="H25" s="106">
        <v>0.08</v>
      </c>
    </row>
    <row r="26" spans="2:9" outlineLevel="1" x14ac:dyDescent="0.25">
      <c r="E26" s="57"/>
      <c r="F26" s="57"/>
      <c r="G26" s="57"/>
      <c r="H26" s="57"/>
    </row>
    <row r="27" spans="2:9" outlineLevel="1" x14ac:dyDescent="0.25">
      <c r="B27" s="45" t="s">
        <v>180</v>
      </c>
      <c r="E27" s="106">
        <v>0.1</v>
      </c>
      <c r="F27" s="106">
        <v>0.1</v>
      </c>
      <c r="G27" s="106">
        <v>0.1</v>
      </c>
      <c r="H27" s="106">
        <v>0.1</v>
      </c>
      <c r="I27" s="20" t="s">
        <v>21</v>
      </c>
    </row>
    <row r="28" spans="2:9" outlineLevel="1" x14ac:dyDescent="0.25">
      <c r="B28" s="45" t="s">
        <v>181</v>
      </c>
      <c r="E28" s="106">
        <v>7.4999999999999997E-2</v>
      </c>
      <c r="F28" s="106">
        <v>7.4999999999999997E-2</v>
      </c>
      <c r="G28" s="106">
        <v>7.4999999999999997E-2</v>
      </c>
      <c r="H28" s="106">
        <v>7.4999999999999997E-2</v>
      </c>
      <c r="I28" s="20" t="s">
        <v>21</v>
      </c>
    </row>
    <row r="29" spans="2:9" outlineLevel="1" x14ac:dyDescent="0.25">
      <c r="B29" s="45" t="s">
        <v>182</v>
      </c>
      <c r="E29" s="107">
        <v>5.6250000000000001E-2</v>
      </c>
      <c r="F29" s="107">
        <v>5.6250000000000001E-2</v>
      </c>
      <c r="G29" s="107">
        <v>5.6250000000000001E-2</v>
      </c>
      <c r="H29" s="107">
        <v>5.6250000000000001E-2</v>
      </c>
      <c r="I29" s="20" t="s">
        <v>21</v>
      </c>
    </row>
    <row r="30" spans="2:9" outlineLevel="1" x14ac:dyDescent="0.25">
      <c r="B30" s="45"/>
      <c r="E30" s="57"/>
      <c r="F30" s="57"/>
      <c r="G30" s="57"/>
      <c r="H30" s="57"/>
      <c r="I30" s="21"/>
    </row>
    <row r="31" spans="2:9" outlineLevel="1" x14ac:dyDescent="0.25">
      <c r="B31" s="45" t="s">
        <v>202</v>
      </c>
      <c r="E31" s="98">
        <v>0</v>
      </c>
      <c r="F31" s="98">
        <f>E31+0.625%</f>
        <v>6.2500000000000003E-3</v>
      </c>
      <c r="G31" s="98">
        <f t="shared" ref="G31:H31" si="0">F31+0.625%</f>
        <v>1.2500000000000001E-2</v>
      </c>
      <c r="H31" s="98">
        <f t="shared" si="0"/>
        <v>1.8750000000000003E-2</v>
      </c>
    </row>
    <row r="32" spans="2:9" hidden="1" outlineLevel="1" x14ac:dyDescent="0.25">
      <c r="B32" s="45" t="s">
        <v>203</v>
      </c>
      <c r="E32" s="98">
        <v>0</v>
      </c>
      <c r="F32" s="98">
        <v>0</v>
      </c>
      <c r="G32" s="98">
        <v>0</v>
      </c>
      <c r="H32" s="98">
        <v>0</v>
      </c>
    </row>
    <row r="33" spans="2:20" hidden="1" outlineLevel="1" x14ac:dyDescent="0.25">
      <c r="B33" s="45" t="s">
        <v>187</v>
      </c>
      <c r="E33" s="98">
        <v>0</v>
      </c>
      <c r="F33" s="98">
        <v>0</v>
      </c>
      <c r="G33" s="98">
        <v>0</v>
      </c>
      <c r="H33" s="98">
        <v>0</v>
      </c>
    </row>
    <row r="34" spans="2:20" outlineLevel="1" x14ac:dyDescent="0.25">
      <c r="B34" s="45" t="s">
        <v>221</v>
      </c>
      <c r="E34" s="98">
        <v>0</v>
      </c>
      <c r="F34" s="98">
        <v>0.01</v>
      </c>
      <c r="G34" s="98">
        <v>0.02</v>
      </c>
      <c r="H34" s="98">
        <v>0.02</v>
      </c>
    </row>
    <row r="36" spans="2:20" x14ac:dyDescent="0.25">
      <c r="B36" s="6" t="s">
        <v>25</v>
      </c>
      <c r="C36" s="7"/>
      <c r="D36" s="6"/>
      <c r="E36" s="6" t="str">
        <f>E1</f>
        <v>Факт</v>
      </c>
      <c r="F36" s="6" t="str">
        <f>F1</f>
        <v>1-й рік</v>
      </c>
      <c r="G36" s="6" t="str">
        <f>G1</f>
        <v>2-й рік</v>
      </c>
      <c r="H36" s="6" t="str">
        <f>H1</f>
        <v>3-й рік</v>
      </c>
    </row>
    <row r="37" spans="2:20" outlineLevel="1" x14ac:dyDescent="0.25">
      <c r="E37" s="51" t="b">
        <f>E50=E64</f>
        <v>1</v>
      </c>
      <c r="F37" s="51" t="b">
        <f>F50=F64</f>
        <v>1</v>
      </c>
      <c r="G37" s="51" t="b">
        <f t="shared" ref="G37:H37" si="1">G50=G64</f>
        <v>1</v>
      </c>
      <c r="H37" s="51" t="b">
        <f t="shared" si="1"/>
        <v>1</v>
      </c>
    </row>
    <row r="38" spans="2:20" outlineLevel="1" x14ac:dyDescent="0.25">
      <c r="B38" s="24" t="s">
        <v>26</v>
      </c>
      <c r="F38" s="26"/>
      <c r="G38" s="26"/>
      <c r="H38" s="26"/>
      <c r="I38" s="23"/>
      <c r="P38" s="24"/>
    </row>
    <row r="39" spans="2:20" outlineLevel="1" x14ac:dyDescent="0.25">
      <c r="B39" s="21" t="s">
        <v>27</v>
      </c>
      <c r="E39" s="12">
        <v>10</v>
      </c>
      <c r="F39" s="26">
        <f>E39+(F96-(F42-E42)+(F53-E53))</f>
        <v>12.908880038088633</v>
      </c>
      <c r="G39" s="26">
        <f>F39+(G96-(G42-F42)+(G53-F53))</f>
        <v>17.74996354302284</v>
      </c>
      <c r="H39" s="26">
        <f>G39+(H96-(H42-G42)+(H53-G53))</f>
        <v>21.009396350045879</v>
      </c>
      <c r="I39" s="25"/>
      <c r="T39" s="26"/>
    </row>
    <row r="40" spans="2:20" outlineLevel="1" x14ac:dyDescent="0.25">
      <c r="B40" s="21" t="s">
        <v>95</v>
      </c>
      <c r="E40" s="12">
        <v>5</v>
      </c>
      <c r="F40" s="26">
        <f>E40</f>
        <v>5</v>
      </c>
      <c r="G40" s="26">
        <f t="shared" ref="G40:H40" si="2">F40</f>
        <v>5</v>
      </c>
      <c r="H40" s="26">
        <f t="shared" si="2"/>
        <v>5</v>
      </c>
      <c r="I40" s="25"/>
      <c r="J40" s="131"/>
      <c r="T40" s="26"/>
    </row>
    <row r="41" spans="2:20" outlineLevel="1" x14ac:dyDescent="0.25">
      <c r="B41" s="21" t="s">
        <v>96</v>
      </c>
      <c r="E41" s="12">
        <v>2</v>
      </c>
      <c r="F41" s="26">
        <f>E41*(1+F5)</f>
        <v>2</v>
      </c>
      <c r="G41" s="26">
        <f>F41*(1+G5)</f>
        <v>2</v>
      </c>
      <c r="H41" s="26">
        <f>G41*(1+H5)</f>
        <v>2</v>
      </c>
      <c r="I41" s="25"/>
      <c r="J41" s="131"/>
      <c r="T41" s="26"/>
    </row>
    <row r="42" spans="2:20" outlineLevel="1" x14ac:dyDescent="0.25">
      <c r="B42" s="21" t="s">
        <v>28</v>
      </c>
      <c r="E42" s="26">
        <f>E43+E46</f>
        <v>127.5</v>
      </c>
      <c r="F42" s="26">
        <f>F43+F46</f>
        <v>140.14736842105265</v>
      </c>
      <c r="G42" s="26">
        <f>G43+G46</f>
        <v>153.22097368421055</v>
      </c>
      <c r="H42" s="26">
        <f>H43+H46</f>
        <v>170.14522736842113</v>
      </c>
      <c r="I42" s="23"/>
      <c r="T42" s="26"/>
    </row>
    <row r="43" spans="2:20" outlineLevel="1" x14ac:dyDescent="0.25">
      <c r="B43" s="21" t="s">
        <v>29</v>
      </c>
      <c r="E43" s="26">
        <f>SUM(E44:E45)</f>
        <v>163.125</v>
      </c>
      <c r="F43" s="26">
        <f>SUM(F44:F45)</f>
        <v>179.16315789473686</v>
      </c>
      <c r="G43" s="26">
        <f>SUM(G44:G45)</f>
        <v>195.74763157894742</v>
      </c>
      <c r="H43" s="26">
        <f>SUM(H44:H45)</f>
        <v>217.28766315789483</v>
      </c>
      <c r="I43" s="23"/>
      <c r="T43" s="26"/>
    </row>
    <row r="44" spans="2:20" outlineLevel="1" x14ac:dyDescent="0.25">
      <c r="C44" s="21" t="s">
        <v>12</v>
      </c>
      <c r="E44" s="12">
        <v>103.125</v>
      </c>
      <c r="F44" s="26">
        <f>E44*(1+F23)</f>
        <v>115.50000000000001</v>
      </c>
      <c r="G44" s="26">
        <f>F44*(1+G23)</f>
        <v>128.20500000000004</v>
      </c>
      <c r="H44" s="26">
        <f>G44*(1+H23)</f>
        <v>143.58960000000005</v>
      </c>
      <c r="I44" s="23"/>
      <c r="T44" s="26"/>
    </row>
    <row r="45" spans="2:20" outlineLevel="1" x14ac:dyDescent="0.25">
      <c r="C45" s="21" t="s">
        <v>13</v>
      </c>
      <c r="D45" s="24"/>
      <c r="E45" s="12">
        <v>60</v>
      </c>
      <c r="F45" s="26">
        <f>E45*(1+F24)*(F3/E3)</f>
        <v>63.663157894736841</v>
      </c>
      <c r="G45" s="26">
        <f>F45*(1+G24)*(G3/F3)</f>
        <v>67.542631578947379</v>
      </c>
      <c r="H45" s="26">
        <f>G45*(1+H24)*(H3/G3)</f>
        <v>73.698063157894765</v>
      </c>
      <c r="I45" s="23"/>
    </row>
    <row r="46" spans="2:20" outlineLevel="1" x14ac:dyDescent="0.25">
      <c r="B46" s="21" t="s">
        <v>30</v>
      </c>
      <c r="E46" s="26">
        <f>SUM(E47:E48)</f>
        <v>-35.625</v>
      </c>
      <c r="F46" s="26">
        <f>SUM(F47:F48)</f>
        <v>-39.015789473684215</v>
      </c>
      <c r="G46" s="26">
        <f>SUM(G47:G48)</f>
        <v>-42.526657894736857</v>
      </c>
      <c r="H46" s="26">
        <f>SUM(H47:H48)</f>
        <v>-47.142435789473701</v>
      </c>
      <c r="I46" s="23"/>
    </row>
    <row r="47" spans="2:20" outlineLevel="1" x14ac:dyDescent="0.25">
      <c r="C47" s="21" t="s">
        <v>12</v>
      </c>
      <c r="E47" s="26">
        <f>-E44*E8</f>
        <v>-20.625</v>
      </c>
      <c r="F47" s="26">
        <f t="shared" ref="E47:H48" si="3">-F44*F8</f>
        <v>-23.100000000000005</v>
      </c>
      <c r="G47" s="26">
        <f t="shared" si="3"/>
        <v>-25.641000000000009</v>
      </c>
      <c r="H47" s="26">
        <f t="shared" si="3"/>
        <v>-28.71792000000001</v>
      </c>
      <c r="I47" s="23"/>
    </row>
    <row r="48" spans="2:20" outlineLevel="1" x14ac:dyDescent="0.25">
      <c r="C48" s="21" t="s">
        <v>13</v>
      </c>
      <c r="E48" s="26">
        <f t="shared" si="3"/>
        <v>-15</v>
      </c>
      <c r="F48" s="26">
        <f t="shared" si="3"/>
        <v>-15.91578947368421</v>
      </c>
      <c r="G48" s="26">
        <f t="shared" si="3"/>
        <v>-16.885657894736845</v>
      </c>
      <c r="H48" s="26">
        <f t="shared" si="3"/>
        <v>-18.424515789473691</v>
      </c>
      <c r="I48" s="23"/>
    </row>
    <row r="49" spans="2:20" outlineLevel="1" x14ac:dyDescent="0.25">
      <c r="B49" s="50" t="s">
        <v>31</v>
      </c>
      <c r="C49" s="50"/>
      <c r="D49" s="50"/>
      <c r="E49" s="13">
        <v>20</v>
      </c>
      <c r="F49" s="52">
        <f>E49</f>
        <v>20</v>
      </c>
      <c r="G49" s="52">
        <f>F49</f>
        <v>20</v>
      </c>
      <c r="H49" s="52">
        <f>G49</f>
        <v>20</v>
      </c>
      <c r="I49" s="23"/>
    </row>
    <row r="50" spans="2:20" s="28" customFormat="1" outlineLevel="1" x14ac:dyDescent="0.25">
      <c r="B50" s="28" t="s">
        <v>32</v>
      </c>
      <c r="E50" s="53">
        <f>E39+E42+E49</f>
        <v>157.5</v>
      </c>
      <c r="F50" s="53">
        <f>F39+F42+F49</f>
        <v>173.05624845914127</v>
      </c>
      <c r="G50" s="53">
        <f>G39+G42+G49</f>
        <v>190.97093722723338</v>
      </c>
      <c r="H50" s="53">
        <f>H39+H42+H49</f>
        <v>211.15462371846701</v>
      </c>
      <c r="I50" s="27"/>
    </row>
    <row r="51" spans="2:20" outlineLevel="1" x14ac:dyDescent="0.25">
      <c r="E51" s="26"/>
      <c r="F51" s="26"/>
      <c r="G51" s="26"/>
      <c r="H51" s="26"/>
      <c r="I51" s="23"/>
    </row>
    <row r="52" spans="2:20" outlineLevel="1" x14ac:dyDescent="0.25">
      <c r="B52" s="24" t="s">
        <v>33</v>
      </c>
      <c r="D52" s="24"/>
      <c r="E52" s="26"/>
      <c r="F52" s="26"/>
      <c r="G52" s="26"/>
      <c r="H52" s="26"/>
      <c r="I52" s="23"/>
    </row>
    <row r="53" spans="2:20" outlineLevel="1" x14ac:dyDescent="0.25">
      <c r="B53" s="21" t="s">
        <v>34</v>
      </c>
      <c r="E53" s="1">
        <f>SUM(E54:E55)</f>
        <v>120</v>
      </c>
      <c r="F53" s="26">
        <f>SUM(F54:F55)</f>
        <v>127.7021052631579</v>
      </c>
      <c r="G53" s="26">
        <f t="shared" ref="G53:H53" si="4">SUM(G54:G55)</f>
        <v>137.17850526315792</v>
      </c>
      <c r="H53" s="26">
        <f t="shared" si="4"/>
        <v>148.73301852631585</v>
      </c>
      <c r="I53" s="23"/>
      <c r="J53" s="26"/>
    </row>
    <row r="54" spans="2:20" outlineLevel="1" x14ac:dyDescent="0.25">
      <c r="C54" s="21" t="s">
        <v>12</v>
      </c>
      <c r="E54" s="12">
        <v>75</v>
      </c>
      <c r="F54" s="26">
        <f>E54*(1+F25)</f>
        <v>79.5</v>
      </c>
      <c r="G54" s="26">
        <f>F54*(1+G25)</f>
        <v>85.065000000000012</v>
      </c>
      <c r="H54" s="26">
        <f>G54*(1+H25)</f>
        <v>91.870200000000025</v>
      </c>
      <c r="I54" s="23"/>
      <c r="J54" s="26"/>
    </row>
    <row r="55" spans="2:20" outlineLevel="1" x14ac:dyDescent="0.25">
      <c r="C55" s="21" t="s">
        <v>13</v>
      </c>
      <c r="E55" s="12">
        <v>45</v>
      </c>
      <c r="F55" s="26">
        <f>E55*(1+F25)*(F3/E3)</f>
        <v>48.202105263157897</v>
      </c>
      <c r="G55" s="26">
        <f>F55*(1+G25)*(G3/F3)</f>
        <v>52.113505263157904</v>
      </c>
      <c r="H55" s="26">
        <f>G55*(1+H25)*(H3/G3)</f>
        <v>56.862818526315813</v>
      </c>
      <c r="I55" s="23"/>
      <c r="J55" s="26"/>
      <c r="P55" s="24"/>
    </row>
    <row r="56" spans="2:20" outlineLevel="1" x14ac:dyDescent="0.25">
      <c r="B56" s="21" t="s">
        <v>35</v>
      </c>
      <c r="E56" s="12">
        <v>10</v>
      </c>
      <c r="F56" s="26">
        <f>E56</f>
        <v>10</v>
      </c>
      <c r="G56" s="26">
        <f t="shared" ref="G56:H56" si="5">F56</f>
        <v>10</v>
      </c>
      <c r="H56" s="26">
        <f t="shared" si="5"/>
        <v>10</v>
      </c>
      <c r="I56" s="23" t="s">
        <v>249</v>
      </c>
      <c r="J56" s="26"/>
      <c r="K56" s="26"/>
      <c r="T56" s="26"/>
    </row>
    <row r="57" spans="2:20" s="28" customFormat="1" outlineLevel="1" x14ac:dyDescent="0.25">
      <c r="B57" s="28" t="s">
        <v>36</v>
      </c>
      <c r="E57" s="2">
        <f>E53+E56</f>
        <v>130</v>
      </c>
      <c r="F57" s="53">
        <f t="shared" ref="F57:H57" si="6">F53+F56</f>
        <v>137.7021052631579</v>
      </c>
      <c r="G57" s="53">
        <f t="shared" si="6"/>
        <v>147.17850526315792</v>
      </c>
      <c r="H57" s="53">
        <f t="shared" si="6"/>
        <v>158.73301852631585</v>
      </c>
      <c r="I57" s="27"/>
      <c r="P57" s="22"/>
      <c r="T57" s="26"/>
    </row>
    <row r="58" spans="2:20" outlineLevel="1" x14ac:dyDescent="0.25">
      <c r="E58" s="26"/>
      <c r="F58" s="26"/>
      <c r="G58" s="26"/>
      <c r="H58" s="26"/>
      <c r="I58" s="23"/>
      <c r="T58" s="26"/>
    </row>
    <row r="59" spans="2:20" outlineLevel="1" x14ac:dyDescent="0.25">
      <c r="B59" s="24" t="s">
        <v>37</v>
      </c>
      <c r="D59" s="24"/>
      <c r="E59" s="26"/>
      <c r="F59" s="26"/>
      <c r="G59" s="26"/>
      <c r="H59" s="26"/>
      <c r="I59" s="23"/>
      <c r="T59" s="26"/>
    </row>
    <row r="60" spans="2:20" outlineLevel="1" x14ac:dyDescent="0.25">
      <c r="B60" s="21" t="s">
        <v>38</v>
      </c>
      <c r="E60" s="12">
        <v>20</v>
      </c>
      <c r="F60" s="26">
        <f>$E$60</f>
        <v>20</v>
      </c>
      <c r="G60" s="26">
        <f>$E$60</f>
        <v>20</v>
      </c>
      <c r="H60" s="26">
        <f>$E$60</f>
        <v>20</v>
      </c>
      <c r="I60" s="23"/>
    </row>
    <row r="61" spans="2:20" outlineLevel="1" x14ac:dyDescent="0.25">
      <c r="B61" s="21" t="s">
        <v>39</v>
      </c>
      <c r="E61" s="12">
        <v>7.5</v>
      </c>
      <c r="F61" s="26">
        <f>E61+F96</f>
        <v>15.354143195983376</v>
      </c>
      <c r="G61" s="26">
        <f>F61+G96</f>
        <v>23.792431964075472</v>
      </c>
      <c r="H61" s="26">
        <f>G61+H96</f>
        <v>32.421605192151162</v>
      </c>
      <c r="I61" s="23"/>
      <c r="J61" s="26"/>
      <c r="K61" s="26"/>
      <c r="L61" s="26"/>
      <c r="M61" s="26"/>
    </row>
    <row r="62" spans="2:20" s="28" customFormat="1" outlineLevel="1" x14ac:dyDescent="0.25">
      <c r="B62" s="28" t="s">
        <v>40</v>
      </c>
      <c r="E62" s="53">
        <f>SUM(E60:E61)</f>
        <v>27.5</v>
      </c>
      <c r="F62" s="53">
        <f>SUM(F60:F61)</f>
        <v>35.354143195983376</v>
      </c>
      <c r="G62" s="53">
        <f>SUM(G60:G61)</f>
        <v>43.792431964075476</v>
      </c>
      <c r="H62" s="53">
        <f>SUM(H60:H61)</f>
        <v>52.421605192151162</v>
      </c>
      <c r="I62" s="27"/>
    </row>
    <row r="63" spans="2:20" outlineLevel="1" x14ac:dyDescent="0.25">
      <c r="B63" s="50"/>
      <c r="C63" s="50"/>
      <c r="D63" s="50"/>
      <c r="E63" s="52"/>
      <c r="F63" s="52"/>
      <c r="G63" s="52"/>
      <c r="H63" s="52"/>
      <c r="I63" s="23"/>
    </row>
    <row r="64" spans="2:20" s="28" customFormat="1" outlineLevel="1" x14ac:dyDescent="0.25">
      <c r="B64" s="28" t="s">
        <v>41</v>
      </c>
      <c r="E64" s="53">
        <f>E57+E62</f>
        <v>157.5</v>
      </c>
      <c r="F64" s="53">
        <f>F57+F62</f>
        <v>173.05624845914127</v>
      </c>
      <c r="G64" s="53">
        <f>G57+G62</f>
        <v>190.97093722723338</v>
      </c>
      <c r="H64" s="53">
        <f>H57+H62</f>
        <v>211.15462371846701</v>
      </c>
      <c r="I64" s="27"/>
    </row>
    <row r="65" spans="2:9" x14ac:dyDescent="0.25">
      <c r="D65" s="24"/>
      <c r="E65" s="26"/>
      <c r="F65" s="26"/>
      <c r="G65" s="26"/>
      <c r="H65" s="26"/>
      <c r="I65" s="23"/>
    </row>
    <row r="66" spans="2:9" x14ac:dyDescent="0.25">
      <c r="B66" s="6" t="s">
        <v>42</v>
      </c>
      <c r="C66" s="7"/>
      <c r="D66" s="6"/>
      <c r="E66" s="6" t="str">
        <f>E36</f>
        <v>Факт</v>
      </c>
      <c r="F66" s="6" t="str">
        <f t="shared" ref="F66:H66" si="7">F36</f>
        <v>1-й рік</v>
      </c>
      <c r="G66" s="6" t="str">
        <f t="shared" si="7"/>
        <v>2-й рік</v>
      </c>
      <c r="H66" s="6" t="str">
        <f t="shared" si="7"/>
        <v>3-й рік</v>
      </c>
      <c r="I66" s="23"/>
    </row>
    <row r="67" spans="2:9" outlineLevel="1" x14ac:dyDescent="0.25">
      <c r="B67" s="24"/>
      <c r="E67" s="26"/>
      <c r="F67" s="26"/>
      <c r="G67" s="26"/>
      <c r="H67" s="26"/>
      <c r="I67" s="23"/>
    </row>
    <row r="68" spans="2:9" outlineLevel="1" x14ac:dyDescent="0.25">
      <c r="B68" s="21" t="s">
        <v>43</v>
      </c>
      <c r="E68" s="26">
        <f>E44*E11+E45*E12+E40*E18</f>
        <v>20.762499999999999</v>
      </c>
      <c r="F68" s="26">
        <f>(F44+E44)/2*F11+(F45+E45)/2*F12+(E40+F40)/2*F18</f>
        <v>20.838072368421052</v>
      </c>
      <c r="G68" s="26">
        <f t="shared" ref="G68:H68" si="8">(G44+F44)/2*G11+(G45+F45)/2*G12+(F40+G40)/2*G18</f>
        <v>20.595961842105265</v>
      </c>
      <c r="H68" s="26">
        <f t="shared" si="8"/>
        <v>21.49423242105264</v>
      </c>
      <c r="I68" s="23"/>
    </row>
    <row r="69" spans="2:9" outlineLevel="1" x14ac:dyDescent="0.25">
      <c r="B69" s="21" t="s">
        <v>44</v>
      </c>
      <c r="D69" s="24"/>
      <c r="E69" s="26">
        <f>-E54*E14-E55*E15-E56*0.001</f>
        <v>-8.4849999999999994</v>
      </c>
      <c r="F69" s="26">
        <f>-((F54+E54)/2*F14+(F55+E55)/2*F15+(F56+E56)/2*0.001)</f>
        <v>-7.9680052631578953</v>
      </c>
      <c r="G69" s="26">
        <f t="shared" ref="G69:I69" si="9">-((G54+F54)/2*G14+(G55+F55)/2*G15+(G56+F56)/2*0.001)</f>
        <v>-6.8433890263157897</v>
      </c>
      <c r="H69" s="26">
        <f t="shared" si="9"/>
        <v>-6.475172809473686</v>
      </c>
      <c r="I69" s="26"/>
    </row>
    <row r="70" spans="2:9" s="28" customFormat="1" outlineLevel="1" x14ac:dyDescent="0.25">
      <c r="B70" s="28" t="s">
        <v>45</v>
      </c>
      <c r="E70" s="53">
        <f>SUM(E68:E69)</f>
        <v>12.2775</v>
      </c>
      <c r="F70" s="53">
        <f>SUM(F68:F69)</f>
        <v>12.870067105263157</v>
      </c>
      <c r="G70" s="53">
        <f>SUM(G68:G69)</f>
        <v>13.752572815789474</v>
      </c>
      <c r="H70" s="53">
        <f>SUM(H68:H69)</f>
        <v>15.019059611578953</v>
      </c>
      <c r="I70" s="27"/>
    </row>
    <row r="71" spans="2:9" outlineLevel="1" x14ac:dyDescent="0.25">
      <c r="E71" s="26"/>
      <c r="F71" s="26"/>
      <c r="G71" s="26"/>
      <c r="H71" s="26"/>
      <c r="I71" s="23"/>
    </row>
    <row r="72" spans="2:9" outlineLevel="1" x14ac:dyDescent="0.25">
      <c r="B72" s="21" t="s">
        <v>46</v>
      </c>
      <c r="E72" s="12">
        <v>8</v>
      </c>
      <c r="F72" s="26">
        <f>E72*(1+F$20)</f>
        <v>8.2319999999999993</v>
      </c>
      <c r="G72" s="26">
        <f t="shared" ref="G72:H73" si="10">F72*(1+G$20)</f>
        <v>8.5201199999999986</v>
      </c>
      <c r="H72" s="26">
        <f t="shared" si="10"/>
        <v>9.0994881599999982</v>
      </c>
      <c r="I72" s="25"/>
    </row>
    <row r="73" spans="2:9" outlineLevel="1" x14ac:dyDescent="0.25">
      <c r="B73" s="21" t="s">
        <v>47</v>
      </c>
      <c r="E73" s="12">
        <v>-6</v>
      </c>
      <c r="F73" s="26">
        <f>E73*(1+F$20)</f>
        <v>-6.1739999999999995</v>
      </c>
      <c r="G73" s="26">
        <f t="shared" si="10"/>
        <v>-6.3900899999999989</v>
      </c>
      <c r="H73" s="26">
        <f t="shared" si="10"/>
        <v>-6.8246161199999991</v>
      </c>
      <c r="I73" s="25"/>
    </row>
    <row r="74" spans="2:9" s="28" customFormat="1" outlineLevel="1" x14ac:dyDescent="0.25">
      <c r="B74" s="28" t="s">
        <v>48</v>
      </c>
      <c r="E74" s="53">
        <f>SUM(E72:E73)</f>
        <v>2</v>
      </c>
      <c r="F74" s="53">
        <f>SUM(F72:F73)</f>
        <v>2.0579999999999998</v>
      </c>
      <c r="G74" s="53">
        <f>SUM(G72:G73)</f>
        <v>2.1300299999999996</v>
      </c>
      <c r="H74" s="53">
        <f>SUM(H72:H73)</f>
        <v>2.2748720399999991</v>
      </c>
      <c r="I74" s="27"/>
    </row>
    <row r="75" spans="2:9" s="28" customFormat="1" outlineLevel="1" x14ac:dyDescent="0.25">
      <c r="E75" s="53"/>
      <c r="F75" s="53"/>
      <c r="G75" s="53"/>
      <c r="H75" s="53"/>
      <c r="I75" s="27"/>
    </row>
    <row r="76" spans="2:9" s="28" customFormat="1" outlineLevel="1" x14ac:dyDescent="0.25">
      <c r="B76" s="21" t="s">
        <v>49</v>
      </c>
      <c r="E76" s="12">
        <v>2</v>
      </c>
      <c r="F76" s="26">
        <f>E76*(1+F$20)</f>
        <v>2.0579999999999998</v>
      </c>
      <c r="G76" s="26">
        <f t="shared" ref="G76:H77" si="11">F76*(1+G$20)</f>
        <v>2.1300299999999996</v>
      </c>
      <c r="H76" s="26">
        <f t="shared" si="11"/>
        <v>2.2748720399999995</v>
      </c>
      <c r="I76" s="27"/>
    </row>
    <row r="77" spans="2:9" s="28" customFormat="1" outlineLevel="1" x14ac:dyDescent="0.25">
      <c r="B77" s="21" t="s">
        <v>50</v>
      </c>
      <c r="E77" s="12">
        <v>-1.7</v>
      </c>
      <c r="F77" s="26">
        <f>E77*(1+F$20)</f>
        <v>-1.7492999999999999</v>
      </c>
      <c r="G77" s="26">
        <f t="shared" si="11"/>
        <v>-1.8105254999999998</v>
      </c>
      <c r="H77" s="26">
        <f t="shared" si="11"/>
        <v>-1.933641234</v>
      </c>
      <c r="I77" s="27"/>
    </row>
    <row r="78" spans="2:9" outlineLevel="1" x14ac:dyDescent="0.25">
      <c r="D78" s="24"/>
      <c r="E78" s="1"/>
      <c r="F78" s="26"/>
      <c r="G78" s="26"/>
      <c r="H78" s="26"/>
      <c r="I78" s="23"/>
    </row>
    <row r="79" spans="2:9" ht="12.5" outlineLevel="1" x14ac:dyDescent="0.25">
      <c r="B79" s="21" t="s">
        <v>51</v>
      </c>
      <c r="E79" s="12">
        <v>-1</v>
      </c>
      <c r="F79" s="26">
        <f>E79*(1+F20)</f>
        <v>-1.0289999999999999</v>
      </c>
      <c r="G79" s="26">
        <f>F79*(1+G20)</f>
        <v>-1.0650149999999998</v>
      </c>
      <c r="H79" s="26">
        <f>G79*(1+H20)</f>
        <v>-1.1374360199999998</v>
      </c>
      <c r="I79" s="26"/>
    </row>
    <row r="80" spans="2:9" ht="12.5" outlineLevel="1" x14ac:dyDescent="0.25">
      <c r="B80" s="21" t="s">
        <v>52</v>
      </c>
      <c r="E80" s="12">
        <v>-1.1000000000000001</v>
      </c>
      <c r="F80" s="26">
        <f>F46-E46</f>
        <v>-3.3907894736842152</v>
      </c>
      <c r="G80" s="26">
        <f>G46-F46</f>
        <v>-3.510868421052642</v>
      </c>
      <c r="H80" s="26">
        <f>H46-G46</f>
        <v>-4.6157778947368442</v>
      </c>
      <c r="I80" s="26" t="s">
        <v>70</v>
      </c>
    </row>
    <row r="81" spans="2:12" outlineLevel="1" x14ac:dyDescent="0.25">
      <c r="B81" s="21" t="s">
        <v>53</v>
      </c>
      <c r="D81" s="24"/>
      <c r="E81" s="12">
        <v>0.02</v>
      </c>
      <c r="F81" s="26">
        <f>F98</f>
        <v>-4.7867036011081153E-3</v>
      </c>
      <c r="G81" s="26">
        <f>G98</f>
        <v>-1.5172203947368545E-2</v>
      </c>
      <c r="H81" s="26">
        <f>H98</f>
        <v>-1.6384238741183135E-2</v>
      </c>
      <c r="I81" s="26" t="s">
        <v>71</v>
      </c>
    </row>
    <row r="82" spans="2:12" outlineLevel="1" x14ac:dyDescent="0.25">
      <c r="D82" s="24"/>
      <c r="E82" s="24"/>
      <c r="F82" s="24"/>
      <c r="G82" s="26"/>
      <c r="H82" s="26"/>
      <c r="I82" s="26"/>
    </row>
    <row r="83" spans="2:12" outlineLevel="1" x14ac:dyDescent="0.25">
      <c r="B83" s="21" t="s">
        <v>97</v>
      </c>
      <c r="D83" s="24"/>
      <c r="E83" s="12">
        <v>0.1</v>
      </c>
      <c r="F83" s="26">
        <f>F40-E40</f>
        <v>0</v>
      </c>
      <c r="G83" s="26">
        <f t="shared" ref="G83:H84" si="12">G40-F40</f>
        <v>0</v>
      </c>
      <c r="H83" s="26">
        <f t="shared" si="12"/>
        <v>0</v>
      </c>
      <c r="I83" s="26"/>
    </row>
    <row r="84" spans="2:12" ht="12.5" outlineLevel="1" x14ac:dyDescent="0.25">
      <c r="B84" s="21" t="s">
        <v>98</v>
      </c>
      <c r="E84" s="12">
        <v>0.1</v>
      </c>
      <c r="F84" s="26">
        <f>(F41+E41)/2*F18</f>
        <v>0.16</v>
      </c>
      <c r="G84" s="26">
        <f t="shared" ref="G84:H84" si="13">(G41+F41)/2*G18</f>
        <v>0.14000000000000001</v>
      </c>
      <c r="H84" s="26">
        <f t="shared" si="13"/>
        <v>0.14000000000000001</v>
      </c>
      <c r="I84" s="26"/>
      <c r="K84" s="29"/>
    </row>
    <row r="85" spans="2:12" outlineLevel="1" x14ac:dyDescent="0.25">
      <c r="D85" s="24"/>
      <c r="E85" s="24"/>
      <c r="F85" s="24"/>
      <c r="G85" s="26"/>
      <c r="H85" s="26"/>
      <c r="I85" s="26"/>
    </row>
    <row r="86" spans="2:12" outlineLevel="1" x14ac:dyDescent="0.25">
      <c r="B86" s="28" t="s">
        <v>161</v>
      </c>
      <c r="I86" s="26" t="s">
        <v>169</v>
      </c>
    </row>
    <row r="87" spans="2:12" ht="12.5" outlineLevel="1" x14ac:dyDescent="0.25">
      <c r="B87" s="54" t="s">
        <v>54</v>
      </c>
      <c r="E87" s="12">
        <v>0</v>
      </c>
      <c r="F87" s="26">
        <f>-0.5</f>
        <v>-0.5</v>
      </c>
      <c r="G87" s="26">
        <f>F87</f>
        <v>-0.5</v>
      </c>
      <c r="H87" s="26">
        <f>G87</f>
        <v>-0.5</v>
      </c>
      <c r="I87" s="21"/>
      <c r="K87" s="30"/>
      <c r="L87" s="29"/>
    </row>
    <row r="88" spans="2:12" ht="12.5" outlineLevel="1" x14ac:dyDescent="0.25">
      <c r="B88" s="54" t="s">
        <v>55</v>
      </c>
      <c r="E88" s="12">
        <v>0</v>
      </c>
      <c r="F88" s="26">
        <v>0</v>
      </c>
      <c r="G88" s="26">
        <v>0</v>
      </c>
      <c r="H88" s="26">
        <v>0</v>
      </c>
      <c r="I88" s="21"/>
    </row>
    <row r="89" spans="2:12" ht="12.5" outlineLevel="1" x14ac:dyDescent="0.25">
      <c r="B89" s="54" t="s">
        <v>56</v>
      </c>
      <c r="E89" s="12">
        <v>0</v>
      </c>
      <c r="F89" s="26">
        <v>0</v>
      </c>
      <c r="G89" s="26">
        <v>0</v>
      </c>
      <c r="H89" s="26">
        <v>0</v>
      </c>
      <c r="I89" s="21"/>
      <c r="L89" s="29"/>
    </row>
    <row r="90" spans="2:12" outlineLevel="1" x14ac:dyDescent="0.25"/>
    <row r="91" spans="2:12" outlineLevel="1" x14ac:dyDescent="0.25">
      <c r="B91" s="50"/>
      <c r="C91" s="50"/>
      <c r="D91" s="50"/>
      <c r="E91" s="5"/>
      <c r="F91" s="52"/>
      <c r="G91" s="52"/>
      <c r="H91" s="52"/>
      <c r="I91" s="23"/>
    </row>
    <row r="92" spans="2:12" outlineLevel="1" x14ac:dyDescent="0.25">
      <c r="B92" s="24" t="s">
        <v>57</v>
      </c>
      <c r="C92" s="24"/>
      <c r="E92" s="55">
        <f>E70+E74+E79+E80+E81+E87+E88+E89+E76+E77+E83+E84</f>
        <v>12.6975</v>
      </c>
      <c r="F92" s="55">
        <f t="shared" ref="F92:H92" si="14">F70+F74+F79+F80+F81+F87+F88+F89+F76+F77+F83+F84</f>
        <v>10.472190927977834</v>
      </c>
      <c r="G92" s="55">
        <f t="shared" si="14"/>
        <v>11.251051690789463</v>
      </c>
      <c r="H92" s="55">
        <f t="shared" si="14"/>
        <v>11.505564304100925</v>
      </c>
      <c r="I92" s="23"/>
    </row>
    <row r="93" spans="2:12" outlineLevel="1" x14ac:dyDescent="0.25">
      <c r="B93" s="24"/>
      <c r="C93" s="24"/>
      <c r="E93" s="26"/>
      <c r="F93" s="26"/>
      <c r="G93" s="26"/>
      <c r="H93" s="26"/>
      <c r="I93" s="23"/>
    </row>
    <row r="94" spans="2:12" outlineLevel="1" x14ac:dyDescent="0.25">
      <c r="B94" s="21" t="s">
        <v>224</v>
      </c>
      <c r="E94" s="26">
        <f>MIN(-E92*0.25, 0)</f>
        <v>-3.1743749999999999</v>
      </c>
      <c r="F94" s="26">
        <f>MIN(-F92*0.25, 0)</f>
        <v>-2.6180477319944586</v>
      </c>
      <c r="G94" s="26">
        <f>MIN(-G92*0.25, 0)</f>
        <v>-2.8127629226973658</v>
      </c>
      <c r="H94" s="26">
        <f>MIN(-H92*0.25, 0)</f>
        <v>-2.8763910760252314</v>
      </c>
      <c r="I94" s="23"/>
    </row>
    <row r="95" spans="2:12" outlineLevel="1" x14ac:dyDescent="0.25">
      <c r="B95" s="50"/>
      <c r="C95" s="50"/>
      <c r="D95" s="50"/>
      <c r="E95" s="52"/>
      <c r="F95" s="52"/>
      <c r="G95" s="52"/>
      <c r="H95" s="52"/>
      <c r="I95" s="23"/>
    </row>
    <row r="96" spans="2:12" outlineLevel="1" x14ac:dyDescent="0.25">
      <c r="B96" s="24" t="s">
        <v>59</v>
      </c>
      <c r="C96" s="24"/>
      <c r="E96" s="55">
        <f>E92+E94</f>
        <v>9.5231250000000003</v>
      </c>
      <c r="F96" s="55">
        <f>F92+F94</f>
        <v>7.8541431959833758</v>
      </c>
      <c r="G96" s="55">
        <f t="shared" ref="G96:H96" si="15">G92+G94</f>
        <v>8.4382887680920966</v>
      </c>
      <c r="H96" s="55">
        <f t="shared" si="15"/>
        <v>8.6291732280756932</v>
      </c>
      <c r="I96" s="23" t="s">
        <v>239</v>
      </c>
    </row>
    <row r="97" spans="2:9" outlineLevel="1" x14ac:dyDescent="0.25">
      <c r="B97" s="24"/>
      <c r="C97" s="24"/>
      <c r="E97" s="55"/>
      <c r="F97" s="55"/>
      <c r="G97" s="55"/>
      <c r="H97" s="55"/>
      <c r="I97" s="23"/>
    </row>
    <row r="98" spans="2:9" s="28" customFormat="1" outlineLevel="1" x14ac:dyDescent="0.25">
      <c r="B98" s="6" t="s">
        <v>60</v>
      </c>
      <c r="C98" s="6"/>
      <c r="D98" s="6"/>
      <c r="E98" s="6">
        <v>0.02</v>
      </c>
      <c r="F98" s="11">
        <f>F99*(F3/E3-1)</f>
        <v>-4.7867036011081153E-3</v>
      </c>
      <c r="G98" s="11">
        <f>G99*(G3/F3-1)</f>
        <v>-1.5172203947368545E-2</v>
      </c>
      <c r="H98" s="11">
        <f>H99*(H3/G3-1)</f>
        <v>-1.6384238741183135E-2</v>
      </c>
      <c r="I98" s="27"/>
    </row>
    <row r="99" spans="2:9" outlineLevel="1" x14ac:dyDescent="0.25">
      <c r="B99" s="21" t="s">
        <v>61</v>
      </c>
      <c r="E99" s="26">
        <f>(E45+E48)-E55</f>
        <v>0</v>
      </c>
      <c r="F99" s="26">
        <f>(F45+F48)-F55</f>
        <v>-0.45473684210526955</v>
      </c>
      <c r="G99" s="26">
        <f>(G45+G48)-G55</f>
        <v>-1.4565315789473701</v>
      </c>
      <c r="H99" s="26">
        <f>(H45+H48)-H55</f>
        <v>-1.5892711578947356</v>
      </c>
      <c r="I99" s="23"/>
    </row>
    <row r="100" spans="2:9" x14ac:dyDescent="0.25">
      <c r="B100" s="21" t="s">
        <v>222</v>
      </c>
      <c r="E100" s="56">
        <f>E99/E141</f>
        <v>0</v>
      </c>
      <c r="F100" s="56">
        <f>F99/F141</f>
        <v>-1.6326731148436479E-2</v>
      </c>
      <c r="G100" s="56">
        <f>G99/G141</f>
        <v>-4.1429627776710234E-2</v>
      </c>
      <c r="H100" s="56">
        <f>H99/H141</f>
        <v>-3.9952613044898534E-2</v>
      </c>
      <c r="I100" s="23"/>
    </row>
    <row r="101" spans="2:9" x14ac:dyDescent="0.25">
      <c r="B101" s="6" t="s">
        <v>62</v>
      </c>
      <c r="C101" s="7"/>
      <c r="D101" s="6"/>
      <c r="E101" s="6" t="str">
        <f>E66</f>
        <v>Факт</v>
      </c>
      <c r="F101" s="6" t="str">
        <f t="shared" ref="F101:H101" si="16">F66</f>
        <v>1-й рік</v>
      </c>
      <c r="G101" s="6" t="str">
        <f t="shared" si="16"/>
        <v>2-й рік</v>
      </c>
      <c r="H101" s="6" t="str">
        <f t="shared" si="16"/>
        <v>3-й рік</v>
      </c>
      <c r="I101" s="31"/>
    </row>
    <row r="102" spans="2:9" x14ac:dyDescent="0.25">
      <c r="B102" s="28" t="s">
        <v>205</v>
      </c>
      <c r="C102" s="28"/>
      <c r="D102" s="28"/>
      <c r="E102" s="53"/>
      <c r="F102" s="53"/>
      <c r="G102" s="53"/>
      <c r="H102" s="53"/>
    </row>
    <row r="103" spans="2:9" x14ac:dyDescent="0.25">
      <c r="B103" s="21" t="s">
        <v>188</v>
      </c>
      <c r="E103" s="26">
        <f>E60+E61</f>
        <v>27.5</v>
      </c>
      <c r="F103" s="26">
        <f>F60+F61</f>
        <v>35.354143195983376</v>
      </c>
      <c r="G103" s="26">
        <f>G60+G61</f>
        <v>43.792431964075476</v>
      </c>
      <c r="H103" s="26">
        <f>H60+H61</f>
        <v>52.421605192151162</v>
      </c>
    </row>
    <row r="104" spans="2:9" x14ac:dyDescent="0.25">
      <c r="B104" s="21" t="s">
        <v>189</v>
      </c>
      <c r="E104" s="26">
        <f>E103</f>
        <v>27.5</v>
      </c>
      <c r="F104" s="26">
        <f t="shared" ref="F104:H104" si="17">F103</f>
        <v>35.354143195983376</v>
      </c>
      <c r="G104" s="26">
        <f t="shared" si="17"/>
        <v>43.792431964075476</v>
      </c>
      <c r="H104" s="26">
        <f t="shared" si="17"/>
        <v>52.421605192151162</v>
      </c>
    </row>
    <row r="105" spans="2:9" x14ac:dyDescent="0.25">
      <c r="B105" s="21" t="s">
        <v>63</v>
      </c>
      <c r="E105" s="26">
        <f>E60+E61+E56</f>
        <v>37.5</v>
      </c>
      <c r="F105" s="26">
        <f>F60+F61+F56</f>
        <v>45.354143195983376</v>
      </c>
      <c r="G105" s="26">
        <f>G60+G61+G56</f>
        <v>53.792431964075476</v>
      </c>
      <c r="H105" s="26">
        <f>H60+H61+H56</f>
        <v>62.421605192151162</v>
      </c>
    </row>
    <row r="106" spans="2:9" x14ac:dyDescent="0.25">
      <c r="B106" s="28"/>
      <c r="C106" s="28"/>
      <c r="D106" s="28"/>
      <c r="E106" s="53"/>
      <c r="F106" s="53"/>
      <c r="G106" s="53"/>
      <c r="H106" s="53"/>
    </row>
    <row r="107" spans="2:9" x14ac:dyDescent="0.25">
      <c r="B107" s="21" t="s">
        <v>64</v>
      </c>
      <c r="E107" s="26">
        <f>E42</f>
        <v>127.5</v>
      </c>
      <c r="F107" s="26">
        <f>F42</f>
        <v>140.14736842105265</v>
      </c>
      <c r="G107" s="26">
        <f>G42</f>
        <v>153.22097368421055</v>
      </c>
      <c r="H107" s="26">
        <f>H42</f>
        <v>170.14522736842113</v>
      </c>
    </row>
    <row r="108" spans="2:9" x14ac:dyDescent="0.25">
      <c r="B108" s="21" t="s">
        <v>65</v>
      </c>
      <c r="E108" s="26">
        <f>E49</f>
        <v>20</v>
      </c>
      <c r="F108" s="26">
        <f>F49</f>
        <v>20</v>
      </c>
      <c r="G108" s="26">
        <f>G49</f>
        <v>20</v>
      </c>
      <c r="H108" s="26">
        <f>H49</f>
        <v>20</v>
      </c>
    </row>
    <row r="109" spans="2:9" x14ac:dyDescent="0.25">
      <c r="E109" s="26"/>
      <c r="F109" s="26"/>
      <c r="G109" s="26"/>
      <c r="H109" s="26"/>
    </row>
    <row r="110" spans="2:9" ht="12.5" x14ac:dyDescent="0.25">
      <c r="B110" s="21" t="s">
        <v>66</v>
      </c>
      <c r="E110" s="26">
        <f>E115*E124</f>
        <v>0</v>
      </c>
      <c r="F110" s="26">
        <v>0.4</v>
      </c>
      <c r="G110" s="26">
        <v>0.15</v>
      </c>
      <c r="H110" s="26">
        <v>0.16</v>
      </c>
      <c r="I110" s="21" t="s">
        <v>240</v>
      </c>
    </row>
    <row r="111" spans="2:9" ht="12.5" x14ac:dyDescent="0.25">
      <c r="B111" s="21" t="s">
        <v>67</v>
      </c>
      <c r="E111" s="26">
        <v>2</v>
      </c>
      <c r="F111" s="26">
        <v>2</v>
      </c>
      <c r="G111" s="26">
        <f>(AVERAGE(ABS(E68+E69),ABS(F68+F69),ABS(G68+G69))+MAX(AVERAGE(E72:G72),ABS(AVERAGE(E73:G73)))+MAX(AVERAGE(E76:G76),ABS(AVERAGE(E77:G77)))+AVERAGE(ABS(E83+E84),ABS(F83+F84),ABS(G83+G84)))*15%</f>
        <v>3.5170144960526315</v>
      </c>
      <c r="H111" s="26">
        <f>(AVERAGE(ABS(F68+F69),ABS(G68+G69),ABS(H68+H69))+MAX(AVERAGE(F72:H72),ABS(AVERAGE(F73:H73)))+MAX(AVERAGE(F76:H76),ABS(AVERAGE(F77:H77)))+AVERAGE(ABS(F83+F84),ABS(G83+G84),ABS(H83+H84)))*15%</f>
        <v>3.7198104866315793</v>
      </c>
      <c r="I111" s="21" t="s">
        <v>241</v>
      </c>
    </row>
    <row r="112" spans="2:9" x14ac:dyDescent="0.25">
      <c r="E112" s="26"/>
      <c r="F112" s="26"/>
      <c r="G112" s="26"/>
      <c r="H112" s="26"/>
    </row>
    <row r="113" spans="2:36" x14ac:dyDescent="0.25">
      <c r="B113" s="28" t="s">
        <v>177</v>
      </c>
      <c r="C113" s="28"/>
      <c r="D113" s="28"/>
      <c r="E113" s="53">
        <f>SUM(E114:E116)</f>
        <v>167.5</v>
      </c>
      <c r="F113" s="53">
        <f>SUM(F114:F116)</f>
        <v>184.14736842105265</v>
      </c>
      <c r="G113" s="53">
        <f t="shared" ref="G113:H113" si="18">SUM(G114:G116)</f>
        <v>209.89111864473688</v>
      </c>
      <c r="H113" s="53">
        <f t="shared" si="18"/>
        <v>228.94333223473691</v>
      </c>
    </row>
    <row r="114" spans="2:36" ht="12.5" x14ac:dyDescent="0.25">
      <c r="B114" s="21" t="s">
        <v>6</v>
      </c>
      <c r="E114" s="26">
        <f>E107+E108</f>
        <v>147.5</v>
      </c>
      <c r="F114" s="26">
        <f>F107+F108</f>
        <v>160.14736842105265</v>
      </c>
      <c r="G114" s="26">
        <f>G107+G108</f>
        <v>173.22097368421055</v>
      </c>
      <c r="H114" s="26">
        <f>H107+H108</f>
        <v>190.14522736842113</v>
      </c>
      <c r="I114" s="21" t="s">
        <v>250</v>
      </c>
    </row>
    <row r="115" spans="2:36" s="28" customFormat="1" x14ac:dyDescent="0.25">
      <c r="B115" s="21" t="s">
        <v>242</v>
      </c>
      <c r="C115" s="21"/>
      <c r="D115" s="21"/>
      <c r="E115" s="26">
        <f>E99</f>
        <v>0</v>
      </c>
      <c r="F115" s="26">
        <f>F110*10</f>
        <v>4</v>
      </c>
      <c r="G115" s="26">
        <f t="shared" ref="G115:H115" si="19">G110*10</f>
        <v>1.5</v>
      </c>
      <c r="H115" s="26">
        <f t="shared" si="19"/>
        <v>1.6</v>
      </c>
      <c r="I115" s="32"/>
    </row>
    <row r="116" spans="2:36" x14ac:dyDescent="0.25">
      <c r="B116" s="21" t="s">
        <v>243</v>
      </c>
      <c r="E116" s="26">
        <f>E111*10</f>
        <v>20</v>
      </c>
      <c r="F116" s="26">
        <f t="shared" ref="F116:H116" si="20">F111*10</f>
        <v>20</v>
      </c>
      <c r="G116" s="26">
        <f>G111*10</f>
        <v>35.170144960526315</v>
      </c>
      <c r="H116" s="26">
        <f t="shared" si="20"/>
        <v>37.198104866315795</v>
      </c>
    </row>
    <row r="117" spans="2:36" x14ac:dyDescent="0.25">
      <c r="E117" s="26"/>
      <c r="F117" s="26"/>
      <c r="G117" s="26"/>
      <c r="H117" s="26"/>
    </row>
    <row r="118" spans="2:36" ht="13.5" thickBot="1" x14ac:dyDescent="0.3">
      <c r="B118" s="21" t="s">
        <v>229</v>
      </c>
      <c r="E118" s="56">
        <f>E103/E113</f>
        <v>0.16417910447761194</v>
      </c>
      <c r="F118" s="56">
        <f>F103/F113</f>
        <v>0.19198831620089291</v>
      </c>
      <c r="G118" s="56">
        <f>G103/G113</f>
        <v>0.20864356837412851</v>
      </c>
      <c r="H118" s="56">
        <f>H103/H113</f>
        <v>0.22897196734431641</v>
      </c>
      <c r="L118" s="20"/>
    </row>
    <row r="119" spans="2:36" ht="13.5" thickTop="1" x14ac:dyDescent="0.25">
      <c r="B119" s="21" t="s">
        <v>230</v>
      </c>
      <c r="E119" s="56">
        <f>E103/E113</f>
        <v>0.16417910447761194</v>
      </c>
      <c r="F119" s="56">
        <f>F103/F113</f>
        <v>0.19198831620089291</v>
      </c>
      <c r="G119" s="56">
        <f>G103/G113</f>
        <v>0.20864356837412851</v>
      </c>
      <c r="H119" s="56">
        <f>H103/H113</f>
        <v>0.22897196734431641</v>
      </c>
      <c r="K119" s="20"/>
      <c r="L119" s="20"/>
      <c r="M119" s="33"/>
      <c r="N119" s="33"/>
      <c r="O119" s="34" t="str">
        <f>E1</f>
        <v>Факт</v>
      </c>
      <c r="P119" s="34" t="str">
        <f>F1</f>
        <v>1-й рік</v>
      </c>
      <c r="Q119" s="34" t="str">
        <f>G1</f>
        <v>2-й рік</v>
      </c>
      <c r="R119" s="34" t="str">
        <f>H1</f>
        <v>3-й рік</v>
      </c>
      <c r="S119" s="20"/>
      <c r="T119" s="20"/>
      <c r="U119" s="33"/>
      <c r="V119" s="33"/>
      <c r="W119" s="34" t="str">
        <f>E1</f>
        <v>Факт</v>
      </c>
      <c r="X119" s="34" t="str">
        <f>F1</f>
        <v>1-й рік</v>
      </c>
      <c r="Y119" s="34" t="str">
        <f>G1</f>
        <v>2-й рік</v>
      </c>
      <c r="Z119" s="34" t="str">
        <f>H1</f>
        <v>3-й рік</v>
      </c>
      <c r="AA119" s="20"/>
      <c r="AB119" s="20"/>
      <c r="AD119" s="33"/>
      <c r="AE119" s="33"/>
      <c r="AF119" s="34" t="str">
        <f>W119</f>
        <v>Факт</v>
      </c>
      <c r="AG119" s="34" t="str">
        <f t="shared" ref="AG119:AI119" si="21">X119</f>
        <v>1-й рік</v>
      </c>
      <c r="AH119" s="34" t="str">
        <f t="shared" si="21"/>
        <v>2-й рік</v>
      </c>
      <c r="AI119" s="34" t="str">
        <f t="shared" si="21"/>
        <v>3-й рік</v>
      </c>
      <c r="AJ119" s="20"/>
    </row>
    <row r="120" spans="2:36" x14ac:dyDescent="0.25">
      <c r="B120" s="21" t="s">
        <v>231</v>
      </c>
      <c r="E120" s="56">
        <f>E105/E113</f>
        <v>0.22388059701492538</v>
      </c>
      <c r="F120" s="56">
        <f>F105/F113</f>
        <v>0.2462926491150349</v>
      </c>
      <c r="G120" s="56">
        <f>G105/G113</f>
        <v>0.25628731845069114</v>
      </c>
      <c r="H120" s="56">
        <f>H105/H113</f>
        <v>0.27265089829368749</v>
      </c>
      <c r="K120" s="74"/>
      <c r="L120" s="20"/>
      <c r="M120" s="32"/>
      <c r="N120" s="36" t="s">
        <v>10</v>
      </c>
      <c r="O120" s="58">
        <f>E124+E125+E126</f>
        <v>0.12000000000000001</v>
      </c>
      <c r="P120" s="58">
        <f>F124+F125+F126</f>
        <v>0.13625000000000001</v>
      </c>
      <c r="Q120" s="58">
        <f>G124+G125+G126</f>
        <v>0.15250000000000002</v>
      </c>
      <c r="R120" s="58">
        <f>H124+H125+H126</f>
        <v>0.15875</v>
      </c>
      <c r="S120" s="20"/>
      <c r="T120" s="20"/>
      <c r="U120" s="32"/>
      <c r="V120" s="36" t="s">
        <v>10</v>
      </c>
      <c r="W120" s="58">
        <f>E122+E125+E126</f>
        <v>7.6249999999999998E-2</v>
      </c>
      <c r="X120" s="58">
        <f>F122+F125+F126</f>
        <v>9.2499999999999999E-2</v>
      </c>
      <c r="Y120" s="58">
        <f>G122+G125+G126</f>
        <v>0.10875</v>
      </c>
      <c r="Z120" s="58">
        <f>H122+H125+H126</f>
        <v>0.115</v>
      </c>
      <c r="AA120" s="20"/>
      <c r="AB120" s="20"/>
      <c r="AD120" s="32"/>
      <c r="AE120" s="36" t="s">
        <v>10</v>
      </c>
      <c r="AF120" s="58">
        <f>E128</f>
        <v>7.6249999999999998E-2</v>
      </c>
      <c r="AG120" s="58">
        <f t="shared" ref="AG120:AI120" si="22">F128</f>
        <v>9.2499999999999999E-2</v>
      </c>
      <c r="AH120" s="58">
        <f t="shared" si="22"/>
        <v>0.10875</v>
      </c>
      <c r="AI120" s="58">
        <f t="shared" si="22"/>
        <v>0.115</v>
      </c>
      <c r="AJ120" s="20"/>
    </row>
    <row r="121" spans="2:36" x14ac:dyDescent="0.25">
      <c r="E121" s="56"/>
      <c r="F121" s="56"/>
      <c r="G121" s="56"/>
      <c r="H121" s="56"/>
      <c r="K121" s="20"/>
      <c r="L121" s="20"/>
      <c r="M121" s="28"/>
      <c r="N121" s="37" t="s">
        <v>2</v>
      </c>
      <c r="O121" s="56"/>
      <c r="P121" s="56"/>
      <c r="Q121" s="56"/>
      <c r="R121" s="56"/>
      <c r="S121" s="20"/>
      <c r="T121" s="20"/>
      <c r="U121" s="28"/>
      <c r="V121" s="37" t="s">
        <v>2</v>
      </c>
      <c r="W121" s="56"/>
      <c r="X121" s="56"/>
      <c r="Y121" s="56"/>
      <c r="Z121" s="56"/>
      <c r="AA121" s="20"/>
      <c r="AB121" s="20"/>
      <c r="AD121" s="28"/>
      <c r="AE121" s="37" t="s">
        <v>2</v>
      </c>
      <c r="AF121" s="56"/>
      <c r="AG121" s="56"/>
      <c r="AH121" s="56"/>
      <c r="AI121" s="56"/>
      <c r="AJ121" s="20"/>
    </row>
    <row r="122" spans="2:36" x14ac:dyDescent="0.3">
      <c r="B122" s="20" t="s">
        <v>182</v>
      </c>
      <c r="C122" s="20"/>
      <c r="D122" s="20"/>
      <c r="E122" s="109">
        <f>E29</f>
        <v>5.6250000000000001E-2</v>
      </c>
      <c r="F122" s="109">
        <f>F29</f>
        <v>5.6250000000000001E-2</v>
      </c>
      <c r="G122" s="109">
        <f>G29</f>
        <v>5.6250000000000001E-2</v>
      </c>
      <c r="H122" s="109">
        <f>H29</f>
        <v>5.6250000000000001E-2</v>
      </c>
      <c r="K122" s="20"/>
      <c r="L122" s="20"/>
      <c r="M122" s="32"/>
      <c r="N122" s="36" t="s">
        <v>68</v>
      </c>
      <c r="O122" s="58">
        <f>E132</f>
        <v>1.4999999999999999E-2</v>
      </c>
      <c r="P122" s="58">
        <f>F132</f>
        <v>1.4999999999999999E-2</v>
      </c>
      <c r="Q122" s="58">
        <f>G132</f>
        <v>1.4999999999999999E-2</v>
      </c>
      <c r="R122" s="58">
        <f>H132</f>
        <v>1.4999999999999999E-2</v>
      </c>
      <c r="U122" s="32"/>
      <c r="V122" s="36" t="s">
        <v>68</v>
      </c>
      <c r="W122" s="58">
        <f>E132</f>
        <v>1.4999999999999999E-2</v>
      </c>
      <c r="X122" s="58">
        <f>F132</f>
        <v>1.4999999999999999E-2</v>
      </c>
      <c r="Y122" s="58">
        <f>G132</f>
        <v>1.4999999999999999E-2</v>
      </c>
      <c r="Z122" s="58">
        <f>H132</f>
        <v>1.4999999999999999E-2</v>
      </c>
      <c r="AA122" s="20"/>
      <c r="AB122" s="20"/>
      <c r="AD122" s="32"/>
      <c r="AE122" s="36" t="s">
        <v>68</v>
      </c>
      <c r="AF122" s="58">
        <f>E132</f>
        <v>1.4999999999999999E-2</v>
      </c>
      <c r="AG122" s="58">
        <f t="shared" ref="AG122:AI122" si="23">F132</f>
        <v>1.4999999999999999E-2</v>
      </c>
      <c r="AH122" s="58">
        <f t="shared" si="23"/>
        <v>1.4999999999999999E-2</v>
      </c>
      <c r="AI122" s="58">
        <f t="shared" si="23"/>
        <v>1.4999999999999999E-2</v>
      </c>
    </row>
    <row r="123" spans="2:36" ht="13.5" thickBot="1" x14ac:dyDescent="0.35">
      <c r="B123" s="20" t="s">
        <v>191</v>
      </c>
      <c r="E123" s="16">
        <f>E28</f>
        <v>7.4999999999999997E-2</v>
      </c>
      <c r="F123" s="16">
        <f>F28</f>
        <v>7.4999999999999997E-2</v>
      </c>
      <c r="G123" s="16">
        <f>G28</f>
        <v>7.4999999999999997E-2</v>
      </c>
      <c r="H123" s="16">
        <f>H28</f>
        <v>7.4999999999999997E-2</v>
      </c>
      <c r="K123" s="20"/>
      <c r="L123" s="20"/>
      <c r="M123" s="39"/>
      <c r="N123" s="40" t="s">
        <v>231</v>
      </c>
      <c r="O123" s="115">
        <f>E120</f>
        <v>0.22388059701492538</v>
      </c>
      <c r="P123" s="115">
        <f>F120</f>
        <v>0.2462926491150349</v>
      </c>
      <c r="Q123" s="115">
        <f>G120</f>
        <v>0.25628731845069114</v>
      </c>
      <c r="R123" s="115">
        <f>H120</f>
        <v>0.27265089829368749</v>
      </c>
      <c r="S123" s="28"/>
      <c r="T123" s="28"/>
      <c r="U123" s="39"/>
      <c r="V123" s="40" t="s">
        <v>232</v>
      </c>
      <c r="W123" s="115">
        <f>E118</f>
        <v>0.16417910447761194</v>
      </c>
      <c r="X123" s="115">
        <f>F118</f>
        <v>0.19198831620089291</v>
      </c>
      <c r="Y123" s="115">
        <f>G118</f>
        <v>0.20864356837412851</v>
      </c>
      <c r="Z123" s="115">
        <f>H118</f>
        <v>0.22897196734431641</v>
      </c>
      <c r="AA123" s="20"/>
      <c r="AB123" s="20"/>
      <c r="AD123" s="39"/>
      <c r="AE123" s="40" t="s">
        <v>256</v>
      </c>
      <c r="AF123" s="115">
        <f>E118</f>
        <v>0.16417910447761194</v>
      </c>
      <c r="AG123" s="115">
        <f t="shared" ref="AG123:AI123" si="24">F118</f>
        <v>0.19198831620089291</v>
      </c>
      <c r="AH123" s="115">
        <f t="shared" si="24"/>
        <v>0.20864356837412851</v>
      </c>
      <c r="AI123" s="115">
        <f t="shared" si="24"/>
        <v>0.22897196734431641</v>
      </c>
    </row>
    <row r="124" spans="2:36" ht="13.5" thickTop="1" x14ac:dyDescent="0.3">
      <c r="B124" s="20" t="s">
        <v>180</v>
      </c>
      <c r="C124" s="20"/>
      <c r="D124" s="20"/>
      <c r="E124" s="16">
        <f>E27</f>
        <v>0.1</v>
      </c>
      <c r="F124" s="16">
        <f>F27</f>
        <v>0.1</v>
      </c>
      <c r="G124" s="16">
        <f>G27</f>
        <v>0.1</v>
      </c>
      <c r="H124" s="16">
        <f>H27</f>
        <v>0.1</v>
      </c>
      <c r="K124" s="26"/>
    </row>
    <row r="125" spans="2:36" x14ac:dyDescent="0.3">
      <c r="B125" s="20" t="s">
        <v>193</v>
      </c>
      <c r="C125" s="20"/>
      <c r="D125" s="20"/>
      <c r="E125" s="16">
        <v>0.02</v>
      </c>
      <c r="F125" s="16">
        <v>0.02</v>
      </c>
      <c r="G125" s="16">
        <v>0.02</v>
      </c>
      <c r="H125" s="16">
        <v>0.02</v>
      </c>
      <c r="K125" s="28"/>
      <c r="L125" s="32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D125" s="28"/>
      <c r="AE125" s="28"/>
      <c r="AF125" s="28"/>
      <c r="AG125" s="28"/>
      <c r="AH125" s="28"/>
      <c r="AI125" s="28"/>
    </row>
    <row r="126" spans="2:36" x14ac:dyDescent="0.3">
      <c r="B126" s="20" t="s">
        <v>107</v>
      </c>
      <c r="C126" s="20"/>
      <c r="E126" s="16">
        <f>SUM(E31:E34)</f>
        <v>0</v>
      </c>
      <c r="F126" s="16">
        <f>SUM(F31:F34)</f>
        <v>1.6250000000000001E-2</v>
      </c>
      <c r="G126" s="16">
        <f>SUM(G31:G34)</f>
        <v>3.2500000000000001E-2</v>
      </c>
      <c r="H126" s="16">
        <f>SUM(H31:H34)</f>
        <v>3.8750000000000007E-2</v>
      </c>
    </row>
    <row r="127" spans="2:36" x14ac:dyDescent="0.25">
      <c r="B127" s="20"/>
      <c r="C127" s="20"/>
      <c r="I127" s="21"/>
    </row>
    <row r="128" spans="2:36" x14ac:dyDescent="0.3">
      <c r="B128" s="73" t="s">
        <v>226</v>
      </c>
      <c r="C128" s="20"/>
      <c r="E128" s="16">
        <f>E122+E125+E126</f>
        <v>7.6249999999999998E-2</v>
      </c>
      <c r="F128" s="16">
        <f t="shared" ref="F128:H128" si="25">F122+F125+F126</f>
        <v>9.2499999999999999E-2</v>
      </c>
      <c r="G128" s="16">
        <f t="shared" si="25"/>
        <v>0.10875</v>
      </c>
      <c r="H128" s="16">
        <f t="shared" si="25"/>
        <v>0.115</v>
      </c>
    </row>
    <row r="129" spans="2:36" x14ac:dyDescent="0.3">
      <c r="B129" s="73" t="s">
        <v>227</v>
      </c>
      <c r="C129" s="20"/>
      <c r="E129" s="16">
        <f>E123+E125+E126</f>
        <v>9.5000000000000001E-2</v>
      </c>
      <c r="F129" s="16">
        <f t="shared" ref="F129:H129" si="26">F123+F125+F126</f>
        <v>0.11125</v>
      </c>
      <c r="G129" s="16">
        <f t="shared" si="26"/>
        <v>0.1275</v>
      </c>
      <c r="H129" s="16">
        <f t="shared" si="26"/>
        <v>0.13375000000000001</v>
      </c>
    </row>
    <row r="130" spans="2:36" x14ac:dyDescent="0.3">
      <c r="B130" s="73" t="s">
        <v>228</v>
      </c>
      <c r="C130" s="20"/>
      <c r="E130" s="16">
        <f>E124+E126+E125</f>
        <v>0.12000000000000001</v>
      </c>
      <c r="F130" s="16">
        <f t="shared" ref="F130:H130" si="27">F124+F126+F125</f>
        <v>0.13625000000000001</v>
      </c>
      <c r="G130" s="16">
        <f t="shared" si="27"/>
        <v>0.1525</v>
      </c>
      <c r="H130" s="16">
        <f t="shared" si="27"/>
        <v>0.15875</v>
      </c>
    </row>
    <row r="131" spans="2:36" x14ac:dyDescent="0.3">
      <c r="B131" s="73"/>
      <c r="C131" s="20"/>
      <c r="D131" s="20"/>
      <c r="E131" s="20"/>
      <c r="F131" s="20"/>
      <c r="G131" s="20"/>
      <c r="H131" s="20"/>
    </row>
    <row r="132" spans="2:36" x14ac:dyDescent="0.25">
      <c r="B132" s="20" t="s">
        <v>112</v>
      </c>
      <c r="C132" s="20"/>
      <c r="D132" s="20"/>
      <c r="E132" s="75">
        <v>1.4999999999999999E-2</v>
      </c>
      <c r="F132" s="75">
        <v>1.4999999999999999E-2</v>
      </c>
      <c r="G132" s="75">
        <v>1.4999999999999999E-2</v>
      </c>
      <c r="H132" s="75">
        <v>1.4999999999999999E-2</v>
      </c>
      <c r="M132" s="112"/>
      <c r="N132" s="112"/>
      <c r="O132" s="112"/>
      <c r="P132" s="112"/>
      <c r="Q132" s="112"/>
      <c r="R132" s="112"/>
      <c r="S132" s="112"/>
      <c r="T132" s="112"/>
      <c r="U132" s="112"/>
      <c r="V132" s="112"/>
      <c r="W132" s="112"/>
      <c r="X132" s="112"/>
      <c r="Y132" s="112"/>
      <c r="Z132" s="112"/>
      <c r="AA132" s="112"/>
      <c r="AB132" s="112"/>
      <c r="AD132" s="112"/>
      <c r="AE132" s="112"/>
      <c r="AF132" s="112"/>
      <c r="AG132" s="112"/>
      <c r="AH132" s="112"/>
      <c r="AI132" s="112"/>
      <c r="AJ132" s="112"/>
    </row>
    <row r="133" spans="2:36" x14ac:dyDescent="0.25">
      <c r="E133" s="56"/>
      <c r="F133" s="56"/>
      <c r="G133" s="56"/>
      <c r="H133" s="56"/>
      <c r="M133" s="89"/>
      <c r="N133" s="89"/>
      <c r="O133" s="112"/>
      <c r="P133" s="114"/>
      <c r="Q133" s="113"/>
      <c r="R133" s="113"/>
      <c r="S133" s="113"/>
      <c r="T133" s="113"/>
      <c r="U133" s="89"/>
      <c r="V133" s="89"/>
      <c r="W133" s="89"/>
      <c r="X133" s="89"/>
      <c r="Y133" s="89"/>
      <c r="Z133" s="89"/>
      <c r="AA133" s="89"/>
      <c r="AB133" s="89"/>
      <c r="AD133" s="89"/>
      <c r="AE133" s="89"/>
      <c r="AF133" s="89"/>
      <c r="AG133" s="89"/>
      <c r="AH133" s="89"/>
      <c r="AI133" s="89"/>
      <c r="AJ133" s="89"/>
    </row>
    <row r="134" spans="2:36" x14ac:dyDescent="0.3">
      <c r="B134" s="73" t="s">
        <v>194</v>
      </c>
      <c r="C134" s="77"/>
      <c r="D134" s="77"/>
      <c r="E134" s="75">
        <f>E122+E125+E126+E132</f>
        <v>9.1249999999999998E-2</v>
      </c>
      <c r="F134" s="75">
        <f t="shared" ref="F134:H134" si="28">F122+F125+F126+F132</f>
        <v>0.1075</v>
      </c>
      <c r="G134" s="75">
        <f t="shared" si="28"/>
        <v>0.12375</v>
      </c>
      <c r="H134" s="75">
        <f t="shared" si="28"/>
        <v>0.13</v>
      </c>
      <c r="M134" s="89"/>
      <c r="N134" s="89"/>
      <c r="O134" s="112"/>
      <c r="P134" s="114"/>
      <c r="Q134" s="113"/>
      <c r="R134" s="113"/>
      <c r="S134" s="113"/>
      <c r="T134" s="113"/>
      <c r="U134" s="89"/>
      <c r="V134" s="89"/>
      <c r="W134" s="89"/>
      <c r="X134" s="89"/>
      <c r="Y134" s="89"/>
      <c r="Z134" s="89"/>
      <c r="AA134" s="89"/>
      <c r="AB134" s="89"/>
      <c r="AD134" s="89"/>
      <c r="AE134" s="89"/>
      <c r="AF134" s="89"/>
      <c r="AG134" s="89"/>
      <c r="AH134" s="89"/>
      <c r="AI134" s="89"/>
      <c r="AJ134" s="89"/>
    </row>
    <row r="135" spans="2:36" x14ac:dyDescent="0.3">
      <c r="B135" s="73" t="s">
        <v>195</v>
      </c>
      <c r="C135" s="77"/>
      <c r="D135" s="77"/>
      <c r="E135" s="75">
        <f>E123+E125+E126+E132</f>
        <v>0.11</v>
      </c>
      <c r="F135" s="75">
        <f t="shared" ref="F135:H135" si="29">F123+F125+F126+F132</f>
        <v>0.12625</v>
      </c>
      <c r="G135" s="75">
        <f t="shared" si="29"/>
        <v>0.14250000000000002</v>
      </c>
      <c r="H135" s="75">
        <f t="shared" si="29"/>
        <v>0.14874999999999999</v>
      </c>
      <c r="M135" s="89"/>
      <c r="N135" s="89"/>
      <c r="O135" s="112"/>
      <c r="P135" s="114"/>
      <c r="Q135" s="113"/>
      <c r="R135" s="113"/>
      <c r="S135" s="113"/>
      <c r="T135" s="113"/>
      <c r="U135" s="89"/>
      <c r="V135" s="89"/>
      <c r="W135" s="89"/>
      <c r="X135" s="89"/>
      <c r="Y135" s="89"/>
      <c r="Z135" s="89"/>
      <c r="AA135" s="89"/>
      <c r="AB135" s="89"/>
      <c r="AD135" s="89"/>
      <c r="AE135" s="89"/>
      <c r="AF135" s="89"/>
      <c r="AG135" s="89"/>
      <c r="AH135" s="89"/>
      <c r="AI135" s="89"/>
      <c r="AJ135" s="89"/>
    </row>
    <row r="136" spans="2:36" x14ac:dyDescent="0.3">
      <c r="B136" s="73" t="s">
        <v>196</v>
      </c>
      <c r="C136" s="77"/>
      <c r="D136" s="77"/>
      <c r="E136" s="76">
        <f>E124+E125+E126+E132</f>
        <v>0.13500000000000001</v>
      </c>
      <c r="F136" s="76">
        <f t="shared" ref="F136:H136" si="30">F124+F125+F126+F132</f>
        <v>0.15125</v>
      </c>
      <c r="G136" s="76">
        <f t="shared" si="30"/>
        <v>0.16750000000000004</v>
      </c>
      <c r="H136" s="76">
        <f t="shared" si="30"/>
        <v>0.17375000000000002</v>
      </c>
      <c r="M136" s="89"/>
      <c r="N136" s="112"/>
      <c r="O136" s="112"/>
      <c r="P136" s="114"/>
      <c r="Q136" s="113"/>
      <c r="R136" s="113"/>
      <c r="S136" s="113"/>
      <c r="T136" s="113"/>
      <c r="U136" s="112"/>
      <c r="V136" s="112"/>
      <c r="W136" s="112"/>
      <c r="X136" s="112"/>
      <c r="Y136" s="112"/>
      <c r="Z136" s="112"/>
      <c r="AA136" s="112"/>
      <c r="AB136" s="112"/>
      <c r="AD136" s="112"/>
      <c r="AE136" s="112"/>
      <c r="AF136" s="112"/>
      <c r="AG136" s="112"/>
      <c r="AH136" s="112"/>
      <c r="AI136" s="112"/>
      <c r="AJ136" s="112"/>
    </row>
    <row r="137" spans="2:36" x14ac:dyDescent="0.25">
      <c r="E137" s="56"/>
      <c r="F137" s="56"/>
      <c r="G137" s="56"/>
      <c r="H137" s="56"/>
      <c r="M137" s="89"/>
      <c r="N137" s="89"/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  <c r="Z137" s="89"/>
      <c r="AA137" s="89"/>
      <c r="AB137" s="89"/>
      <c r="AD137" s="89"/>
      <c r="AE137" s="89"/>
      <c r="AF137" s="89"/>
      <c r="AG137" s="89"/>
      <c r="AH137" s="89"/>
      <c r="AI137" s="89"/>
      <c r="AJ137" s="89"/>
    </row>
    <row r="138" spans="2:36" x14ac:dyDescent="0.3">
      <c r="B138" s="73" t="s">
        <v>225</v>
      </c>
      <c r="C138" s="77"/>
      <c r="D138" s="77"/>
      <c r="E138" s="76"/>
      <c r="F138" s="76"/>
      <c r="G138" s="76"/>
      <c r="H138" s="76"/>
      <c r="M138" s="89"/>
      <c r="N138" s="89"/>
      <c r="O138" s="89"/>
      <c r="P138" s="89"/>
      <c r="Q138" s="89"/>
      <c r="R138" s="89"/>
      <c r="S138" s="89"/>
      <c r="T138" s="89"/>
      <c r="U138" s="89"/>
      <c r="V138" s="89"/>
      <c r="W138" s="89"/>
      <c r="X138" s="89"/>
      <c r="Y138" s="89"/>
      <c r="Z138" s="89"/>
      <c r="AA138" s="89"/>
      <c r="AB138" s="89"/>
      <c r="AD138" s="89"/>
      <c r="AE138" s="89"/>
      <c r="AF138" s="89"/>
      <c r="AG138" s="89"/>
      <c r="AH138" s="89"/>
      <c r="AI138" s="89"/>
      <c r="AJ138" s="89"/>
    </row>
    <row r="139" spans="2:36" s="20" customFormat="1" x14ac:dyDescent="0.3">
      <c r="B139" s="100" t="s">
        <v>188</v>
      </c>
      <c r="C139" s="77"/>
      <c r="D139" s="77"/>
      <c r="E139" s="94">
        <f>E134*E113</f>
        <v>15.284374999999999</v>
      </c>
      <c r="F139" s="94">
        <f>F134*F113</f>
        <v>19.795842105263159</v>
      </c>
      <c r="G139" s="94">
        <f>G134*G113</f>
        <v>25.974025932286189</v>
      </c>
      <c r="H139" s="94">
        <f>H134*H113</f>
        <v>29.7626331905158</v>
      </c>
      <c r="K139" s="60"/>
      <c r="L139" s="110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/>
      <c r="X139" s="89"/>
      <c r="Y139" s="89"/>
      <c r="Z139" s="89"/>
      <c r="AA139" s="89"/>
      <c r="AB139" s="89"/>
      <c r="AD139" s="89"/>
      <c r="AE139" s="89"/>
      <c r="AF139" s="89"/>
      <c r="AG139" s="89"/>
      <c r="AH139" s="89"/>
      <c r="AI139" s="89"/>
      <c r="AJ139" s="89"/>
    </row>
    <row r="140" spans="2:36" x14ac:dyDescent="0.3">
      <c r="B140" s="100" t="s">
        <v>189</v>
      </c>
      <c r="C140" s="77"/>
      <c r="D140" s="77"/>
      <c r="E140" s="94">
        <f>E135*E113</f>
        <v>18.425000000000001</v>
      </c>
      <c r="F140" s="94">
        <f>F135*F113</f>
        <v>23.248605263157899</v>
      </c>
      <c r="G140" s="94">
        <f>G135*G113</f>
        <v>29.909484406875009</v>
      </c>
      <c r="H140" s="94">
        <f>H135*H113</f>
        <v>34.055320669917116</v>
      </c>
      <c r="K140" s="60"/>
      <c r="L140" s="110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9"/>
      <c r="AA140" s="89"/>
      <c r="AB140" s="89"/>
      <c r="AD140" s="89"/>
      <c r="AE140" s="89"/>
      <c r="AF140" s="89"/>
      <c r="AG140" s="89"/>
      <c r="AH140" s="89"/>
      <c r="AI140" s="89"/>
      <c r="AJ140" s="89"/>
    </row>
    <row r="141" spans="2:36" x14ac:dyDescent="0.3">
      <c r="B141" s="100" t="s">
        <v>63</v>
      </c>
      <c r="C141" s="77"/>
      <c r="D141" s="77"/>
      <c r="E141" s="94">
        <f>E136*E113</f>
        <v>22.612500000000001</v>
      </c>
      <c r="F141" s="94">
        <f>F136*F113</f>
        <v>27.852289473684213</v>
      </c>
      <c r="G141" s="94">
        <f>G136*G113</f>
        <v>35.156762372993434</v>
      </c>
      <c r="H141" s="94">
        <f>H136*H113</f>
        <v>39.778903975785539</v>
      </c>
      <c r="K141" s="60"/>
      <c r="L141" s="110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Z141" s="89"/>
      <c r="AA141" s="89"/>
      <c r="AB141" s="89"/>
      <c r="AD141" s="89"/>
      <c r="AE141" s="89"/>
      <c r="AF141" s="89"/>
      <c r="AG141" s="89"/>
      <c r="AH141" s="89"/>
      <c r="AI141" s="89"/>
      <c r="AJ141" s="89"/>
    </row>
    <row r="142" spans="2:36" x14ac:dyDescent="0.25">
      <c r="K142" s="60"/>
      <c r="L142" s="20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D142" s="22"/>
      <c r="AE142" s="22"/>
      <c r="AF142" s="22"/>
      <c r="AG142" s="22"/>
      <c r="AH142" s="22"/>
      <c r="AI142" s="22"/>
      <c r="AJ142" s="22"/>
    </row>
    <row r="143" spans="2:36" s="28" customFormat="1" x14ac:dyDescent="0.25">
      <c r="B143" s="45" t="s">
        <v>206</v>
      </c>
      <c r="C143" s="20"/>
      <c r="D143" s="20"/>
      <c r="E143" s="74"/>
      <c r="F143" s="74"/>
      <c r="G143" s="74"/>
      <c r="H143" s="74"/>
      <c r="I143" s="32"/>
      <c r="K143" s="53"/>
      <c r="L143" s="110"/>
      <c r="M143" s="89"/>
      <c r="N143" s="89"/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  <c r="Z143" s="89"/>
      <c r="AA143" s="89"/>
      <c r="AB143" s="89"/>
      <c r="AD143" s="89"/>
      <c r="AE143" s="89"/>
      <c r="AF143" s="89"/>
      <c r="AG143" s="89"/>
      <c r="AH143" s="89"/>
      <c r="AI143" s="89"/>
      <c r="AJ143" s="89"/>
    </row>
    <row r="144" spans="2:36" s="20" customFormat="1" x14ac:dyDescent="0.25">
      <c r="B144" s="100" t="s">
        <v>188</v>
      </c>
      <c r="E144" s="95">
        <f t="shared" ref="E144:H146" si="31">E103-E139</f>
        <v>12.215625000000001</v>
      </c>
      <c r="F144" s="95">
        <f t="shared" si="31"/>
        <v>15.558301090720217</v>
      </c>
      <c r="G144" s="95">
        <f t="shared" si="31"/>
        <v>17.818406031789287</v>
      </c>
      <c r="H144" s="95">
        <f t="shared" si="31"/>
        <v>22.658972001635362</v>
      </c>
      <c r="K144" s="53"/>
      <c r="L144" s="110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Z144" s="89"/>
      <c r="AA144" s="89"/>
      <c r="AB144" s="89"/>
      <c r="AD144" s="89"/>
      <c r="AE144" s="89"/>
      <c r="AF144" s="89"/>
      <c r="AG144" s="89"/>
      <c r="AH144" s="89"/>
      <c r="AI144" s="89"/>
      <c r="AJ144" s="89"/>
    </row>
    <row r="145" spans="2:36" x14ac:dyDescent="0.25">
      <c r="B145" s="100" t="s">
        <v>189</v>
      </c>
      <c r="C145" s="20"/>
      <c r="D145" s="20"/>
      <c r="E145" s="95">
        <f t="shared" si="31"/>
        <v>9.0749999999999993</v>
      </c>
      <c r="F145" s="95">
        <f t="shared" si="31"/>
        <v>12.105537932825477</v>
      </c>
      <c r="G145" s="95">
        <f t="shared" si="31"/>
        <v>13.882947557200467</v>
      </c>
      <c r="H145" s="95">
        <f t="shared" si="31"/>
        <v>18.366284522234047</v>
      </c>
      <c r="K145" s="53"/>
      <c r="L145" s="110"/>
      <c r="M145" s="89"/>
      <c r="N145" s="89"/>
      <c r="O145" s="89"/>
      <c r="P145" s="89"/>
      <c r="Q145" s="89"/>
      <c r="R145" s="89"/>
      <c r="S145" s="89"/>
      <c r="T145" s="89"/>
      <c r="U145" s="89"/>
      <c r="V145" s="89"/>
      <c r="W145" s="89"/>
      <c r="X145" s="89"/>
      <c r="Y145" s="89"/>
      <c r="Z145" s="89"/>
      <c r="AA145" s="89"/>
      <c r="AB145" s="89"/>
      <c r="AD145" s="89"/>
      <c r="AE145" s="89"/>
      <c r="AF145" s="89"/>
      <c r="AG145" s="89"/>
      <c r="AH145" s="89"/>
      <c r="AI145" s="89"/>
      <c r="AJ145" s="89"/>
    </row>
    <row r="146" spans="2:36" s="110" customFormat="1" x14ac:dyDescent="0.25">
      <c r="B146" s="100" t="s">
        <v>63</v>
      </c>
      <c r="C146" s="20"/>
      <c r="D146" s="20"/>
      <c r="E146" s="95">
        <f t="shared" si="31"/>
        <v>14.887499999999999</v>
      </c>
      <c r="F146" s="95">
        <f t="shared" si="31"/>
        <v>17.501853722299163</v>
      </c>
      <c r="G146" s="95">
        <f t="shared" si="31"/>
        <v>18.635669591082042</v>
      </c>
      <c r="H146" s="95">
        <f t="shared" si="31"/>
        <v>22.642701216365623</v>
      </c>
      <c r="K146" s="60"/>
      <c r="M146" s="89"/>
      <c r="N146" s="89"/>
      <c r="O146" s="89"/>
      <c r="P146" s="89"/>
      <c r="Q146" s="89"/>
      <c r="R146" s="89"/>
      <c r="S146" s="89"/>
      <c r="T146" s="89"/>
      <c r="U146" s="89"/>
      <c r="V146" s="89"/>
      <c r="W146" s="89"/>
      <c r="X146" s="89"/>
      <c r="Y146" s="89"/>
      <c r="Z146" s="89"/>
      <c r="AA146" s="89"/>
      <c r="AB146" s="89"/>
      <c r="AD146" s="89"/>
      <c r="AE146" s="89"/>
      <c r="AF146" s="89"/>
      <c r="AG146" s="89"/>
      <c r="AH146" s="89"/>
      <c r="AI146" s="89"/>
      <c r="AJ146" s="89"/>
    </row>
    <row r="147" spans="2:36" s="110" customFormat="1" x14ac:dyDescent="0.25">
      <c r="K147" s="60"/>
      <c r="M147" s="89"/>
      <c r="N147" s="89"/>
      <c r="O147" s="89"/>
      <c r="P147" s="89"/>
      <c r="Q147" s="89"/>
      <c r="R147" s="89"/>
      <c r="S147" s="89"/>
      <c r="T147" s="89"/>
      <c r="U147" s="89"/>
      <c r="V147" s="89"/>
      <c r="W147" s="89"/>
      <c r="X147" s="89"/>
      <c r="Y147" s="89"/>
      <c r="Z147" s="89"/>
      <c r="AA147" s="89"/>
      <c r="AB147" s="89"/>
      <c r="AD147" s="89"/>
      <c r="AE147" s="89"/>
      <c r="AF147" s="89"/>
      <c r="AG147" s="89"/>
      <c r="AH147" s="89"/>
      <c r="AI147" s="89"/>
      <c r="AJ147" s="89"/>
    </row>
    <row r="148" spans="2:36" x14ac:dyDescent="0.25">
      <c r="B148" s="28" t="s">
        <v>86</v>
      </c>
      <c r="C148" s="28"/>
      <c r="D148" s="28"/>
      <c r="E148" s="28">
        <f>MAX(IF(E144&lt;0,-E144,0), IF(E145&lt;0,-E145,0), IF(E146&lt;0,-E146,0))</f>
        <v>0</v>
      </c>
      <c r="F148" s="28">
        <f>MAX(IF(F144&lt;0,-F144,0), IF(F145&lt;0,-F145,0), IF(F146&lt;0,-F146,0))</f>
        <v>0</v>
      </c>
      <c r="G148" s="28">
        <f>MAX(IF(G144&lt;0,-G144,0), IF(G145&lt;0,-G145,0), IF(G146&lt;0,-G146,0))</f>
        <v>0</v>
      </c>
      <c r="H148" s="28">
        <f>MAX(IF(H144&lt;0,-H144,0), IF(H145&lt;0,-H145,0), IF(H146&lt;0,-H146,0))</f>
        <v>0</v>
      </c>
      <c r="L148" s="20"/>
    </row>
    <row r="149" spans="2:36" s="20" customFormat="1" x14ac:dyDescent="0.25"/>
    <row r="150" spans="2:36" s="20" customFormat="1" x14ac:dyDescent="0.25"/>
    <row r="151" spans="2:36" s="20" customFormat="1" x14ac:dyDescent="0.25"/>
    <row r="153" spans="2:36" x14ac:dyDescent="0.3">
      <c r="B153" s="73"/>
      <c r="C153" s="77"/>
      <c r="D153" s="77"/>
      <c r="E153" s="76"/>
      <c r="F153" s="76"/>
      <c r="G153" s="76"/>
      <c r="H153" s="76"/>
    </row>
    <row r="158" spans="2:36" x14ac:dyDescent="0.25">
      <c r="E158" s="26"/>
      <c r="F158" s="26"/>
      <c r="G158" s="26"/>
      <c r="H158" s="26"/>
    </row>
    <row r="161" spans="2:9" ht="12.5" x14ac:dyDescent="0.25">
      <c r="I161" s="21"/>
    </row>
    <row r="162" spans="2:9" s="20" customFormat="1" x14ac:dyDescent="0.25"/>
    <row r="163" spans="2:9" s="20" customFormat="1" x14ac:dyDescent="0.25">
      <c r="E163" s="74"/>
      <c r="F163" s="74"/>
      <c r="G163" s="74"/>
    </row>
    <row r="164" spans="2:9" s="20" customFormat="1" x14ac:dyDescent="0.25"/>
    <row r="165" spans="2:9" s="20" customFormat="1" x14ac:dyDescent="0.25"/>
    <row r="166" spans="2:9" s="20" customFormat="1" x14ac:dyDescent="0.25"/>
    <row r="167" spans="2:9" s="20" customFormat="1" x14ac:dyDescent="0.25"/>
    <row r="168" spans="2:9" ht="12.5" x14ac:dyDescent="0.25">
      <c r="E168" s="26"/>
      <c r="F168" s="26"/>
      <c r="G168" s="26"/>
      <c r="I168" s="21"/>
    </row>
    <row r="169" spans="2:9" s="28" customFormat="1" x14ac:dyDescent="0.25"/>
    <row r="170" spans="2:9" ht="12.5" x14ac:dyDescent="0.25">
      <c r="I170" s="21"/>
    </row>
    <row r="171" spans="2:9" s="112" customFormat="1" x14ac:dyDescent="0.25">
      <c r="B171" s="21"/>
      <c r="C171" s="21"/>
      <c r="D171" s="21"/>
      <c r="E171" s="21"/>
      <c r="F171" s="21"/>
      <c r="G171" s="21"/>
    </row>
    <row r="172" spans="2:9" s="89" customFormat="1" ht="12.5" x14ac:dyDescent="0.25">
      <c r="B172" s="21"/>
      <c r="C172" s="21"/>
      <c r="D172" s="21"/>
      <c r="E172" s="21"/>
      <c r="F172" s="21"/>
      <c r="G172" s="21"/>
    </row>
    <row r="173" spans="2:9" s="89" customFormat="1" ht="12.5" x14ac:dyDescent="0.25">
      <c r="B173" s="21"/>
      <c r="C173" s="21"/>
      <c r="D173" s="21"/>
      <c r="E173" s="21"/>
      <c r="F173" s="21"/>
      <c r="G173" s="21"/>
    </row>
    <row r="174" spans="2:9" s="89" customFormat="1" ht="12.5" x14ac:dyDescent="0.25">
      <c r="B174" s="21"/>
      <c r="C174" s="21"/>
      <c r="D174" s="21"/>
      <c r="E174" s="21"/>
      <c r="F174" s="21"/>
      <c r="G174" s="21"/>
    </row>
    <row r="175" spans="2:9" s="112" customFormat="1" x14ac:dyDescent="0.25">
      <c r="B175" s="21"/>
      <c r="C175" s="21"/>
      <c r="D175" s="21"/>
      <c r="E175" s="21"/>
      <c r="F175" s="21"/>
      <c r="G175" s="21"/>
    </row>
    <row r="176" spans="2:9" s="89" customFormat="1" ht="12.5" x14ac:dyDescent="0.25">
      <c r="B176" s="21"/>
      <c r="C176" s="21"/>
      <c r="D176" s="21"/>
      <c r="E176" s="21"/>
      <c r="F176" s="21"/>
      <c r="G176" s="21"/>
    </row>
    <row r="177" spans="2:9" s="89" customFormat="1" ht="12.5" x14ac:dyDescent="0.25">
      <c r="B177" s="21"/>
      <c r="C177" s="21"/>
      <c r="D177" s="21"/>
      <c r="E177" s="21"/>
      <c r="F177" s="21"/>
      <c r="G177" s="21"/>
    </row>
    <row r="178" spans="2:9" s="89" customFormat="1" ht="12.5" x14ac:dyDescent="0.25">
      <c r="B178" s="22"/>
      <c r="C178" s="22"/>
      <c r="D178" s="22"/>
      <c r="E178" s="60"/>
      <c r="F178" s="60"/>
      <c r="G178" s="60"/>
    </row>
    <row r="179" spans="2:9" s="89" customFormat="1" ht="12.5" x14ac:dyDescent="0.25">
      <c r="B179" s="22"/>
      <c r="C179" s="22"/>
      <c r="D179" s="22"/>
      <c r="E179" s="60"/>
      <c r="F179" s="60"/>
      <c r="G179" s="60"/>
    </row>
    <row r="180" spans="2:9" s="89" customFormat="1" ht="12.5" x14ac:dyDescent="0.25">
      <c r="B180" s="22"/>
      <c r="C180" s="22"/>
      <c r="D180" s="22"/>
      <c r="E180" s="60"/>
      <c r="F180" s="60"/>
      <c r="G180" s="60"/>
    </row>
    <row r="181" spans="2:9" s="22" customFormat="1" ht="12.5" x14ac:dyDescent="0.25">
      <c r="E181" s="60"/>
      <c r="F181" s="60"/>
      <c r="G181" s="60"/>
    </row>
    <row r="182" spans="2:9" s="89" customFormat="1" x14ac:dyDescent="0.25">
      <c r="B182" s="28"/>
      <c r="C182" s="28"/>
      <c r="D182" s="28"/>
      <c r="E182" s="53"/>
      <c r="F182" s="53"/>
      <c r="G182" s="53"/>
    </row>
    <row r="183" spans="2:9" s="89" customFormat="1" x14ac:dyDescent="0.25">
      <c r="B183" s="28"/>
      <c r="C183" s="28"/>
      <c r="D183" s="28"/>
      <c r="E183" s="53"/>
      <c r="F183" s="53"/>
      <c r="G183" s="53"/>
    </row>
    <row r="184" spans="2:9" s="89" customFormat="1" x14ac:dyDescent="0.25">
      <c r="B184" s="28"/>
      <c r="C184" s="28"/>
      <c r="D184" s="28"/>
      <c r="E184" s="53"/>
      <c r="F184" s="53"/>
      <c r="G184" s="53"/>
    </row>
    <row r="185" spans="2:9" s="89" customFormat="1" x14ac:dyDescent="0.25">
      <c r="B185" s="20"/>
      <c r="C185" s="28"/>
      <c r="D185" s="28"/>
      <c r="E185" s="60"/>
      <c r="F185" s="60"/>
      <c r="G185" s="60"/>
    </row>
    <row r="186" spans="2:9" s="89" customFormat="1" x14ac:dyDescent="0.25">
      <c r="B186" s="20"/>
      <c r="C186" s="28"/>
      <c r="D186" s="28"/>
      <c r="E186" s="60"/>
      <c r="F186" s="60"/>
      <c r="G186" s="60"/>
    </row>
    <row r="187" spans="2:9" s="89" customFormat="1" x14ac:dyDescent="0.25">
      <c r="B187" s="20"/>
      <c r="C187" s="22"/>
      <c r="D187" s="22"/>
      <c r="E187" s="60"/>
      <c r="F187" s="60"/>
      <c r="G187" s="60"/>
    </row>
    <row r="188" spans="2:9" s="112" customFormat="1" x14ac:dyDescent="0.25">
      <c r="B188" s="22"/>
      <c r="C188" s="22"/>
      <c r="D188" s="22"/>
      <c r="E188" s="22"/>
      <c r="F188" s="22"/>
      <c r="G188" s="22"/>
    </row>
    <row r="189" spans="2:9" s="89" customFormat="1" x14ac:dyDescent="0.25">
      <c r="B189" s="28"/>
      <c r="C189" s="28"/>
      <c r="D189" s="28"/>
      <c r="E189" s="53"/>
      <c r="F189" s="53"/>
      <c r="G189" s="53"/>
    </row>
    <row r="190" spans="2:9" s="112" customFormat="1" x14ac:dyDescent="0.25">
      <c r="B190" s="89"/>
      <c r="C190" s="89"/>
      <c r="D190" s="89"/>
      <c r="E190" s="89"/>
      <c r="F190" s="89"/>
      <c r="G190" s="89"/>
    </row>
    <row r="191" spans="2:9" ht="12.5" x14ac:dyDescent="0.25">
      <c r="I191" s="21"/>
    </row>
    <row r="192" spans="2:9" s="28" customFormat="1" x14ac:dyDescent="0.25">
      <c r="B192" s="21"/>
      <c r="C192" s="21"/>
      <c r="D192" s="21"/>
      <c r="E192" s="21"/>
      <c r="F192" s="21"/>
      <c r="G192" s="21"/>
      <c r="H192" s="21"/>
      <c r="I192" s="32"/>
    </row>
    <row r="194" spans="3:9" s="28" customFormat="1" x14ac:dyDescent="0.25">
      <c r="I194" s="32"/>
    </row>
    <row r="196" spans="3:9" s="28" customFormat="1" x14ac:dyDescent="0.25">
      <c r="I196" s="32"/>
    </row>
    <row r="198" spans="3:9" s="28" customFormat="1" x14ac:dyDescent="0.25">
      <c r="C198" s="21"/>
      <c r="D198" s="21"/>
      <c r="E198" s="21"/>
      <c r="F198" s="21"/>
      <c r="G198" s="21"/>
      <c r="H198" s="21"/>
      <c r="I198" s="32"/>
    </row>
  </sheetData>
  <phoneticPr fontId="28" type="noConversion"/>
  <conditionalFormatting sqref="E37:H37">
    <cfRule type="cellIs" dxfId="10" priority="1" operator="equal">
      <formula>FALSE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3"/>
  <dimension ref="B1:AF173"/>
  <sheetViews>
    <sheetView topLeftCell="C1" zoomScale="55" zoomScaleNormal="55" workbookViewId="0">
      <pane ySplit="1" topLeftCell="A128" activePane="bottomLeft" state="frozen"/>
      <selection pane="bottomLeft" activeCell="AC141" sqref="AC141:AF144"/>
    </sheetView>
  </sheetViews>
  <sheetFormatPr defaultColWidth="8.453125" defaultRowHeight="13" outlineLevelRow="1" x14ac:dyDescent="0.25"/>
  <cols>
    <col min="1" max="1" width="8.453125" style="21"/>
    <col min="2" max="2" width="32" style="21" customWidth="1"/>
    <col min="3" max="3" width="18.453125" style="21" customWidth="1"/>
    <col min="4" max="4" width="10" style="21" customWidth="1"/>
    <col min="5" max="8" width="8.453125" style="21"/>
    <col min="9" max="9" width="9.453125" style="20" customWidth="1"/>
    <col min="10" max="14" width="8.453125" style="21"/>
    <col min="15" max="15" width="8" style="21" customWidth="1"/>
    <col min="16" max="16" width="9.453125" style="21" customWidth="1"/>
    <col min="17" max="16384" width="8.453125" style="21"/>
  </cols>
  <sheetData>
    <row r="1" spans="2:16" x14ac:dyDescent="0.25">
      <c r="B1" s="8" t="s">
        <v>69</v>
      </c>
      <c r="C1" s="9"/>
      <c r="D1" s="8"/>
      <c r="E1" s="10" t="s">
        <v>186</v>
      </c>
      <c r="F1" s="10" t="s">
        <v>183</v>
      </c>
      <c r="G1" s="10" t="s">
        <v>184</v>
      </c>
      <c r="H1" s="10" t="s">
        <v>185</v>
      </c>
      <c r="I1" s="20" t="s">
        <v>19</v>
      </c>
    </row>
    <row r="2" spans="2:16" ht="14" outlineLevel="1" x14ac:dyDescent="0.3">
      <c r="B2" s="43"/>
      <c r="D2" s="24"/>
      <c r="E2" s="48"/>
      <c r="F2" s="49"/>
      <c r="G2" s="49"/>
      <c r="H2" s="49"/>
    </row>
    <row r="3" spans="2:16" s="22" customFormat="1" outlineLevel="1" x14ac:dyDescent="0.3">
      <c r="B3" s="44" t="s">
        <v>11</v>
      </c>
      <c r="E3" s="4">
        <v>38</v>
      </c>
      <c r="F3" s="4">
        <v>48</v>
      </c>
      <c r="G3" s="4">
        <v>52.8</v>
      </c>
      <c r="H3" s="4">
        <v>56.5</v>
      </c>
      <c r="I3" s="62" t="s">
        <v>254</v>
      </c>
      <c r="N3" s="105"/>
      <c r="O3" s="105"/>
      <c r="P3" s="105"/>
    </row>
    <row r="4" spans="2:16" s="22" customFormat="1" outlineLevel="1" x14ac:dyDescent="0.3">
      <c r="B4" s="44"/>
      <c r="I4" s="62"/>
      <c r="N4" s="70"/>
      <c r="O4" s="70"/>
      <c r="P4" s="70"/>
    </row>
    <row r="5" spans="2:16" s="22" customFormat="1" outlineLevel="1" x14ac:dyDescent="0.3">
      <c r="B5" s="44"/>
      <c r="F5" s="68"/>
      <c r="G5" s="68"/>
      <c r="H5" s="68"/>
      <c r="I5" s="62"/>
    </row>
    <row r="6" spans="2:16" s="22" customFormat="1" outlineLevel="1" x14ac:dyDescent="0.3">
      <c r="B6" s="44" t="s">
        <v>251</v>
      </c>
      <c r="F6" s="68">
        <v>-0.15</v>
      </c>
      <c r="G6" s="68">
        <v>-0.05</v>
      </c>
      <c r="H6" s="68">
        <v>0</v>
      </c>
      <c r="I6" s="62" t="s">
        <v>100</v>
      </c>
    </row>
    <row r="7" spans="2:16" s="22" customFormat="1" outlineLevel="1" x14ac:dyDescent="0.3">
      <c r="B7" s="44"/>
      <c r="E7" s="47"/>
      <c r="F7" s="47"/>
      <c r="G7" s="47"/>
      <c r="H7" s="47"/>
      <c r="I7" s="20"/>
    </row>
    <row r="8" spans="2:16" outlineLevel="1" x14ac:dyDescent="0.25">
      <c r="B8" s="45" t="s">
        <v>87</v>
      </c>
    </row>
    <row r="9" spans="2:16" outlineLevel="1" x14ac:dyDescent="0.3">
      <c r="C9" s="46" t="s">
        <v>12</v>
      </c>
      <c r="E9" s="15">
        <v>0.2</v>
      </c>
      <c r="F9" s="15">
        <v>0.25</v>
      </c>
      <c r="G9" s="15">
        <v>0.23</v>
      </c>
      <c r="H9" s="15">
        <v>0.21</v>
      </c>
      <c r="I9" s="20" t="s">
        <v>72</v>
      </c>
    </row>
    <row r="10" spans="2:16" outlineLevel="1" x14ac:dyDescent="0.3">
      <c r="C10" s="46" t="s">
        <v>13</v>
      </c>
      <c r="E10" s="15">
        <v>0.25</v>
      </c>
      <c r="F10" s="15">
        <v>0.32</v>
      </c>
      <c r="G10" s="15">
        <v>0.3</v>
      </c>
      <c r="H10" s="15">
        <v>0.26</v>
      </c>
      <c r="I10" s="20" t="s">
        <v>73</v>
      </c>
    </row>
    <row r="11" spans="2:16" outlineLevel="1" x14ac:dyDescent="0.25">
      <c r="B11" s="45" t="s">
        <v>14</v>
      </c>
      <c r="E11" s="57"/>
      <c r="F11" s="57"/>
      <c r="G11" s="57"/>
      <c r="H11" s="57"/>
    </row>
    <row r="12" spans="2:16" outlineLevel="1" x14ac:dyDescent="0.3">
      <c r="C12" s="46" t="s">
        <v>12</v>
      </c>
      <c r="E12" s="106">
        <v>0.18</v>
      </c>
      <c r="F12" s="106">
        <v>0.18</v>
      </c>
      <c r="G12" s="106">
        <v>0.18</v>
      </c>
      <c r="H12" s="106">
        <v>0.18</v>
      </c>
      <c r="I12" s="20" t="s">
        <v>252</v>
      </c>
    </row>
    <row r="13" spans="2:16" outlineLevel="1" x14ac:dyDescent="0.3">
      <c r="C13" s="46" t="s">
        <v>13</v>
      </c>
      <c r="E13" s="106">
        <v>0.03</v>
      </c>
      <c r="F13" s="106">
        <v>0.03</v>
      </c>
      <c r="G13" s="106">
        <v>0.03</v>
      </c>
      <c r="H13" s="106">
        <v>0.03</v>
      </c>
      <c r="I13" s="20" t="s">
        <v>248</v>
      </c>
    </row>
    <row r="14" spans="2:16" outlineLevel="1" x14ac:dyDescent="0.25">
      <c r="B14" s="45" t="s">
        <v>15</v>
      </c>
      <c r="E14" s="57"/>
      <c r="F14" s="57"/>
      <c r="G14" s="57"/>
      <c r="H14" s="57"/>
    </row>
    <row r="15" spans="2:16" outlineLevel="1" x14ac:dyDescent="0.3">
      <c r="C15" s="46" t="s">
        <v>12</v>
      </c>
      <c r="E15" s="106">
        <v>0.11</v>
      </c>
      <c r="F15" s="106">
        <v>0.18</v>
      </c>
      <c r="G15" s="106">
        <v>0.15</v>
      </c>
      <c r="H15" s="106">
        <v>0.11</v>
      </c>
      <c r="I15" s="20" t="s">
        <v>253</v>
      </c>
    </row>
    <row r="16" spans="2:16" outlineLevel="1" x14ac:dyDescent="0.3">
      <c r="C16" s="46" t="s">
        <v>13</v>
      </c>
      <c r="E16" s="106">
        <v>5.0000000000000001E-3</v>
      </c>
      <c r="F16" s="106">
        <v>5.0000000000000001E-3</v>
      </c>
      <c r="G16" s="106">
        <v>5.0000000000000001E-3</v>
      </c>
      <c r="H16" s="106">
        <v>5.0000000000000001E-3</v>
      </c>
      <c r="I16" s="20" t="s">
        <v>23</v>
      </c>
    </row>
    <row r="17" spans="2:10" outlineLevel="1" x14ac:dyDescent="0.3">
      <c r="C17" s="46"/>
      <c r="E17" s="57"/>
      <c r="F17" s="57"/>
      <c r="G17" s="57"/>
      <c r="H17" s="57"/>
      <c r="I17" s="21"/>
    </row>
    <row r="18" spans="2:10" outlineLevel="1" x14ac:dyDescent="0.3">
      <c r="B18" s="45" t="s">
        <v>220</v>
      </c>
      <c r="C18" s="46"/>
      <c r="E18" s="108">
        <v>0.13</v>
      </c>
      <c r="F18" s="108">
        <v>0.15</v>
      </c>
      <c r="G18" s="108">
        <f>F18</f>
        <v>0.15</v>
      </c>
      <c r="H18" s="108">
        <v>0.13</v>
      </c>
      <c r="I18" s="21"/>
    </row>
    <row r="19" spans="2:10" outlineLevel="1" x14ac:dyDescent="0.3">
      <c r="B19" s="45" t="s">
        <v>172</v>
      </c>
      <c r="C19" s="46"/>
      <c r="E19" s="108">
        <v>0.08</v>
      </c>
      <c r="F19" s="108">
        <v>0.12</v>
      </c>
      <c r="G19" s="108">
        <v>0.12</v>
      </c>
      <c r="H19" s="108">
        <v>0.1</v>
      </c>
    </row>
    <row r="20" spans="2:10" outlineLevel="1" x14ac:dyDescent="0.3">
      <c r="C20" s="46"/>
      <c r="E20" s="57"/>
      <c r="F20" s="57"/>
      <c r="G20" s="57"/>
      <c r="H20" s="57"/>
    </row>
    <row r="21" spans="2:10" s="99" customFormat="1" outlineLevel="1" x14ac:dyDescent="0.25">
      <c r="B21" s="45" t="s">
        <v>16</v>
      </c>
      <c r="C21" s="21"/>
      <c r="D21" s="21"/>
      <c r="E21" s="122">
        <v>-0.15</v>
      </c>
      <c r="F21" s="122">
        <v>-0.02</v>
      </c>
      <c r="G21" s="122">
        <v>0</v>
      </c>
      <c r="H21" s="122">
        <v>0.02</v>
      </c>
      <c r="I21" s="62" t="s">
        <v>74</v>
      </c>
      <c r="J21" s="21"/>
    </row>
    <row r="22" spans="2:10" outlineLevel="1" x14ac:dyDescent="0.25">
      <c r="E22" s="57"/>
      <c r="F22" s="57"/>
      <c r="G22" s="57"/>
      <c r="H22" s="57"/>
    </row>
    <row r="23" spans="2:10" outlineLevel="1" x14ac:dyDescent="0.25">
      <c r="B23" s="45" t="s">
        <v>17</v>
      </c>
      <c r="E23" s="57"/>
      <c r="F23" s="106">
        <v>-1.4999999999999999E-2</v>
      </c>
      <c r="G23" s="106">
        <v>-0.01</v>
      </c>
      <c r="H23" s="106">
        <v>0.02</v>
      </c>
      <c r="I23" s="20" t="s">
        <v>75</v>
      </c>
    </row>
    <row r="24" spans="2:10" outlineLevel="1" x14ac:dyDescent="0.25">
      <c r="B24" s="45" t="s">
        <v>18</v>
      </c>
      <c r="E24" s="57"/>
      <c r="F24" s="106">
        <v>-0.02</v>
      </c>
      <c r="G24" s="106">
        <v>0</v>
      </c>
      <c r="H24" s="106">
        <v>1.4999999999999999E-2</v>
      </c>
      <c r="I24" s="20" t="s">
        <v>198</v>
      </c>
    </row>
    <row r="25" spans="2:10" outlineLevel="1" x14ac:dyDescent="0.25">
      <c r="E25" s="57"/>
      <c r="F25" s="57"/>
      <c r="G25" s="57"/>
      <c r="H25" s="57"/>
    </row>
    <row r="26" spans="2:10" outlineLevel="1" x14ac:dyDescent="0.25">
      <c r="B26" s="45" t="s">
        <v>180</v>
      </c>
      <c r="E26" s="106">
        <v>0.1</v>
      </c>
      <c r="F26" s="106">
        <v>0.1</v>
      </c>
      <c r="G26" s="106">
        <v>0.1</v>
      </c>
      <c r="H26" s="106">
        <v>0.1</v>
      </c>
      <c r="I26" s="20" t="s">
        <v>21</v>
      </c>
    </row>
    <row r="27" spans="2:10" outlineLevel="1" x14ac:dyDescent="0.25">
      <c r="B27" s="45" t="s">
        <v>181</v>
      </c>
      <c r="E27" s="106">
        <v>7.4999999999999997E-2</v>
      </c>
      <c r="F27" s="106">
        <v>7.4999999999999997E-2</v>
      </c>
      <c r="G27" s="106">
        <v>7.4999999999999997E-2</v>
      </c>
      <c r="H27" s="106">
        <v>7.4999999999999997E-2</v>
      </c>
      <c r="I27" s="20" t="s">
        <v>21</v>
      </c>
    </row>
    <row r="28" spans="2:10" outlineLevel="1" x14ac:dyDescent="0.25">
      <c r="B28" s="45" t="s">
        <v>182</v>
      </c>
      <c r="E28" s="107">
        <v>5.6250000000000001E-2</v>
      </c>
      <c r="F28" s="107">
        <v>5.6250000000000001E-2</v>
      </c>
      <c r="G28" s="107">
        <v>5.6250000000000001E-2</v>
      </c>
      <c r="H28" s="107">
        <v>5.6250000000000001E-2</v>
      </c>
    </row>
    <row r="29" spans="2:10" outlineLevel="1" x14ac:dyDescent="0.25">
      <c r="B29" s="45"/>
      <c r="E29" s="57"/>
      <c r="F29" s="57"/>
      <c r="G29" s="57"/>
      <c r="H29" s="57"/>
      <c r="I29" s="21"/>
    </row>
    <row r="30" spans="2:10" outlineLevel="1" x14ac:dyDescent="0.25">
      <c r="B30" s="45" t="s">
        <v>108</v>
      </c>
      <c r="C30" s="20"/>
      <c r="D30" s="20"/>
      <c r="E30" s="98">
        <f>Normative_Perspective_Baseline!E31</f>
        <v>0</v>
      </c>
      <c r="F30" s="98">
        <f>Normative_Perspective_Baseline!F31</f>
        <v>6.2500000000000003E-3</v>
      </c>
      <c r="G30" s="98">
        <f>Normative_Perspective_Baseline!G31</f>
        <v>1.2500000000000001E-2</v>
      </c>
      <c r="H30" s="98">
        <f>Normative_Perspective_Baseline!H31</f>
        <v>1.8750000000000003E-2</v>
      </c>
    </row>
    <row r="31" spans="2:10" outlineLevel="1" x14ac:dyDescent="0.25">
      <c r="B31" s="45" t="s">
        <v>109</v>
      </c>
      <c r="E31" s="98">
        <f>Normative_Perspective_Baseline!E34</f>
        <v>0</v>
      </c>
      <c r="F31" s="98">
        <f>Normative_Perspective_Baseline!F34</f>
        <v>0.01</v>
      </c>
      <c r="G31" s="98">
        <f>Normative_Perspective_Baseline!G34</f>
        <v>0.02</v>
      </c>
      <c r="H31" s="98">
        <f>Normative_Perspective_Baseline!H34</f>
        <v>0.02</v>
      </c>
    </row>
    <row r="33" spans="2:20" x14ac:dyDescent="0.25">
      <c r="B33" s="6" t="s">
        <v>25</v>
      </c>
      <c r="C33" s="7"/>
      <c r="D33" s="6"/>
      <c r="E33" s="6" t="str">
        <f>E1</f>
        <v>Факт</v>
      </c>
      <c r="F33" s="6" t="str">
        <f>F1</f>
        <v>1-й рік</v>
      </c>
      <c r="G33" s="6" t="str">
        <f>G1</f>
        <v>2-й рік</v>
      </c>
      <c r="H33" s="6" t="str">
        <f>H1</f>
        <v>3-й рік</v>
      </c>
    </row>
    <row r="34" spans="2:20" outlineLevel="1" x14ac:dyDescent="0.25">
      <c r="E34" s="51" t="b">
        <f>E47=E61</f>
        <v>1</v>
      </c>
      <c r="F34" s="51" t="b">
        <f>F47=F61</f>
        <v>1</v>
      </c>
      <c r="G34" s="51" t="b">
        <f t="shared" ref="G34:H34" si="0">G47=G61</f>
        <v>1</v>
      </c>
      <c r="H34" s="51" t="b">
        <f t="shared" si="0"/>
        <v>1</v>
      </c>
    </row>
    <row r="35" spans="2:20" outlineLevel="1" x14ac:dyDescent="0.25">
      <c r="B35" s="24" t="s">
        <v>26</v>
      </c>
      <c r="F35" s="26"/>
      <c r="G35" s="26"/>
      <c r="H35" s="26"/>
      <c r="I35" s="23"/>
      <c r="P35" s="24"/>
    </row>
    <row r="36" spans="2:20" outlineLevel="1" x14ac:dyDescent="0.25">
      <c r="B36" s="21" t="s">
        <v>27</v>
      </c>
      <c r="E36" s="12">
        <v>10</v>
      </c>
      <c r="F36" s="26">
        <f>E36+(F93-(F39-E39)+(F50-E50))</f>
        <v>8.6894263331024959</v>
      </c>
      <c r="G36" s="26">
        <f>F36+(G93-(G39-F39)+(G50-F50))</f>
        <v>13.107860492641962</v>
      </c>
      <c r="H36" s="26">
        <f>G36+(H93-(H39-G39)+(H50-G50))</f>
        <v>18.758926173794755</v>
      </c>
      <c r="I36" s="25"/>
      <c r="T36" s="26"/>
    </row>
    <row r="37" spans="2:20" outlineLevel="1" x14ac:dyDescent="0.25">
      <c r="B37" s="21" t="s">
        <v>95</v>
      </c>
      <c r="E37" s="67">
        <v>5</v>
      </c>
      <c r="F37" s="26">
        <f>E37</f>
        <v>5</v>
      </c>
      <c r="G37" s="26">
        <f t="shared" ref="G37:H37" si="1">F37</f>
        <v>5</v>
      </c>
      <c r="H37" s="26">
        <f t="shared" si="1"/>
        <v>5</v>
      </c>
      <c r="I37" s="25"/>
      <c r="T37" s="26"/>
    </row>
    <row r="38" spans="2:20" outlineLevel="1" x14ac:dyDescent="0.25">
      <c r="B38" s="21" t="s">
        <v>96</v>
      </c>
      <c r="E38" s="67">
        <v>2</v>
      </c>
      <c r="F38" s="26">
        <f>E38*(1+F6)</f>
        <v>1.7</v>
      </c>
      <c r="G38" s="26">
        <f>F38*(1+G6)</f>
        <v>1.615</v>
      </c>
      <c r="H38" s="26">
        <f>G38*(1+H6)</f>
        <v>1.615</v>
      </c>
      <c r="I38" s="25"/>
      <c r="T38" s="26"/>
    </row>
    <row r="39" spans="2:20" outlineLevel="1" x14ac:dyDescent="0.25">
      <c r="B39" s="21" t="s">
        <v>28</v>
      </c>
      <c r="E39" s="26">
        <f>E40+E43</f>
        <v>127.5</v>
      </c>
      <c r="F39" s="26">
        <f>F40+F43</f>
        <v>126.9473832236842</v>
      </c>
      <c r="G39" s="26">
        <f>G40+G43</f>
        <v>134.34070574013157</v>
      </c>
      <c r="H39" s="26">
        <f>H40+H43</f>
        <v>146.69593964111843</v>
      </c>
      <c r="I39" s="23"/>
      <c r="T39" s="26"/>
    </row>
    <row r="40" spans="2:20" outlineLevel="1" x14ac:dyDescent="0.25">
      <c r="B40" s="21" t="s">
        <v>29</v>
      </c>
      <c r="E40" s="26">
        <f>SUM(E41:E42)</f>
        <v>163.125</v>
      </c>
      <c r="F40" s="26">
        <f>SUM(F41:F42)</f>
        <v>176.23075657894736</v>
      </c>
      <c r="G40" s="26">
        <f>SUM(G41:G42)</f>
        <v>181.85905953947366</v>
      </c>
      <c r="H40" s="26">
        <f>SUM(H41:H42)</f>
        <v>191.30710825657894</v>
      </c>
      <c r="I40" s="23"/>
      <c r="T40" s="26"/>
    </row>
    <row r="41" spans="2:20" outlineLevel="1" x14ac:dyDescent="0.25">
      <c r="C41" s="21" t="s">
        <v>12</v>
      </c>
      <c r="E41" s="12">
        <v>103.125</v>
      </c>
      <c r="F41" s="26">
        <f>E41*(1+F23)</f>
        <v>101.578125</v>
      </c>
      <c r="G41" s="26">
        <f>F41*(1+G23)</f>
        <v>100.56234375</v>
      </c>
      <c r="H41" s="26">
        <f>G41*(1+H23)</f>
        <v>102.57359062499999</v>
      </c>
      <c r="I41" s="23"/>
      <c r="T41" s="26"/>
    </row>
    <row r="42" spans="2:20" outlineLevel="1" x14ac:dyDescent="0.25">
      <c r="C42" s="21" t="s">
        <v>13</v>
      </c>
      <c r="D42" s="24"/>
      <c r="E42" s="12">
        <v>60</v>
      </c>
      <c r="F42" s="26">
        <f>E42*(1+F23)*(F3/E3)</f>
        <v>74.652631578947364</v>
      </c>
      <c r="G42" s="26">
        <f>F42*(1+G23)*(G3/F3)</f>
        <v>81.296715789473666</v>
      </c>
      <c r="H42" s="26">
        <f>G42*(1+H23)*(H3/G3)</f>
        <v>88.733517631578934</v>
      </c>
      <c r="I42" s="23"/>
    </row>
    <row r="43" spans="2:20" outlineLevel="1" x14ac:dyDescent="0.25">
      <c r="B43" s="21" t="s">
        <v>30</v>
      </c>
      <c r="E43" s="26">
        <f>SUM(E44:E45)</f>
        <v>-35.625</v>
      </c>
      <c r="F43" s="26">
        <f>SUM(F44:F45)</f>
        <v>-49.283373355263159</v>
      </c>
      <c r="G43" s="26">
        <f>SUM(G44:G45)</f>
        <v>-47.518353799342101</v>
      </c>
      <c r="H43" s="26">
        <f>SUM(H44:H45)</f>
        <v>-44.611168615460521</v>
      </c>
      <c r="I43" s="23"/>
    </row>
    <row r="44" spans="2:20" outlineLevel="1" x14ac:dyDescent="0.25">
      <c r="C44" s="21" t="s">
        <v>12</v>
      </c>
      <c r="E44" s="26">
        <f t="shared" ref="E44:H45" si="2">-E41*E9</f>
        <v>-20.625</v>
      </c>
      <c r="F44" s="26">
        <f t="shared" si="2"/>
        <v>-25.39453125</v>
      </c>
      <c r="G44" s="26">
        <f t="shared" si="2"/>
        <v>-23.129339062500001</v>
      </c>
      <c r="H44" s="26">
        <f t="shared" si="2"/>
        <v>-21.540454031249997</v>
      </c>
      <c r="I44" s="23"/>
    </row>
    <row r="45" spans="2:20" outlineLevel="1" x14ac:dyDescent="0.25">
      <c r="C45" s="21" t="s">
        <v>13</v>
      </c>
      <c r="E45" s="26">
        <f t="shared" si="2"/>
        <v>-15</v>
      </c>
      <c r="F45" s="26">
        <f t="shared" si="2"/>
        <v>-23.888842105263159</v>
      </c>
      <c r="G45" s="26">
        <f t="shared" si="2"/>
        <v>-24.3890147368421</v>
      </c>
      <c r="H45" s="26">
        <f t="shared" si="2"/>
        <v>-23.070714584210524</v>
      </c>
      <c r="I45" s="23"/>
    </row>
    <row r="46" spans="2:20" outlineLevel="1" x14ac:dyDescent="0.25">
      <c r="B46" s="50" t="s">
        <v>31</v>
      </c>
      <c r="C46" s="50"/>
      <c r="D46" s="50"/>
      <c r="E46" s="13">
        <v>20</v>
      </c>
      <c r="F46" s="52">
        <f>E46</f>
        <v>20</v>
      </c>
      <c r="G46" s="52">
        <f>F46</f>
        <v>20</v>
      </c>
      <c r="H46" s="52">
        <f>G46</f>
        <v>20</v>
      </c>
      <c r="I46" s="23"/>
    </row>
    <row r="47" spans="2:20" s="28" customFormat="1" outlineLevel="1" x14ac:dyDescent="0.25">
      <c r="B47" s="28" t="s">
        <v>32</v>
      </c>
      <c r="E47" s="53">
        <f>E36+E39+E46</f>
        <v>157.5</v>
      </c>
      <c r="F47" s="53">
        <f>F36+F39+F46</f>
        <v>155.63680955678669</v>
      </c>
      <c r="G47" s="53">
        <f>G36+G39+G46</f>
        <v>167.44856623277354</v>
      </c>
      <c r="H47" s="53">
        <f>H36+H39+H46</f>
        <v>185.45486581491318</v>
      </c>
      <c r="I47" s="27"/>
    </row>
    <row r="48" spans="2:20" outlineLevel="1" x14ac:dyDescent="0.25">
      <c r="E48" s="26"/>
      <c r="F48" s="26"/>
      <c r="G48" s="26"/>
      <c r="H48" s="26"/>
      <c r="I48" s="23"/>
    </row>
    <row r="49" spans="2:20" outlineLevel="1" x14ac:dyDescent="0.25">
      <c r="B49" s="24" t="s">
        <v>33</v>
      </c>
      <c r="D49" s="24"/>
      <c r="E49" s="26"/>
      <c r="F49" s="26"/>
      <c r="G49" s="26"/>
      <c r="H49" s="26"/>
      <c r="I49" s="23"/>
    </row>
    <row r="50" spans="2:20" outlineLevel="1" x14ac:dyDescent="0.25">
      <c r="B50" s="21" t="s">
        <v>34</v>
      </c>
      <c r="E50" s="1">
        <f>SUM(E51:E52)</f>
        <v>120</v>
      </c>
      <c r="F50" s="26">
        <f>SUM(F51:F52)</f>
        <v>129.20526315789473</v>
      </c>
      <c r="G50" s="26">
        <f t="shared" ref="G50:H50" si="3">SUM(G51:G52)</f>
        <v>134.7757894736842</v>
      </c>
      <c r="H50" s="26">
        <f t="shared" si="3"/>
        <v>141.15578289473683</v>
      </c>
      <c r="I50" s="23"/>
    </row>
    <row r="51" spans="2:20" outlineLevel="1" x14ac:dyDescent="0.25">
      <c r="C51" s="21" t="s">
        <v>12</v>
      </c>
      <c r="E51" s="12">
        <f>Normative_Perspective_Baseline!E54</f>
        <v>75</v>
      </c>
      <c r="F51" s="26">
        <f>E51*(1+F24)</f>
        <v>73.5</v>
      </c>
      <c r="G51" s="26">
        <f>F51*(1+G24)</f>
        <v>73.5</v>
      </c>
      <c r="H51" s="26">
        <f>G51*(1+H24)</f>
        <v>74.602499999999992</v>
      </c>
      <c r="I51" s="23"/>
    </row>
    <row r="52" spans="2:20" outlineLevel="1" x14ac:dyDescent="0.25">
      <c r="C52" s="21" t="s">
        <v>13</v>
      </c>
      <c r="E52" s="12">
        <f>Normative_Perspective_Baseline!E55</f>
        <v>45</v>
      </c>
      <c r="F52" s="26">
        <f>E52*(1+F24)*(F3/E3)</f>
        <v>55.705263157894734</v>
      </c>
      <c r="G52" s="26">
        <f>F52*(1+G24)*(G3/F3)</f>
        <v>61.275789473684199</v>
      </c>
      <c r="H52" s="26">
        <f>G52*(1+H24)*(H3/G3)</f>
        <v>66.553282894736824</v>
      </c>
      <c r="I52" s="23"/>
      <c r="P52" s="24"/>
    </row>
    <row r="53" spans="2:20" outlineLevel="1" x14ac:dyDescent="0.25">
      <c r="B53" s="21" t="s">
        <v>35</v>
      </c>
      <c r="E53" s="12">
        <v>10</v>
      </c>
      <c r="F53" s="26">
        <f>E53</f>
        <v>10</v>
      </c>
      <c r="G53" s="26">
        <f t="shared" ref="G53:H53" si="4">F53</f>
        <v>10</v>
      </c>
      <c r="H53" s="26">
        <f t="shared" si="4"/>
        <v>10</v>
      </c>
      <c r="I53" s="23" t="s">
        <v>249</v>
      </c>
      <c r="T53" s="26"/>
    </row>
    <row r="54" spans="2:20" s="28" customFormat="1" outlineLevel="1" x14ac:dyDescent="0.25">
      <c r="B54" s="28" t="s">
        <v>36</v>
      </c>
      <c r="E54" s="2">
        <f>E50+E53</f>
        <v>130</v>
      </c>
      <c r="F54" s="53">
        <f t="shared" ref="F54:H54" si="5">F50+F53</f>
        <v>139.20526315789473</v>
      </c>
      <c r="G54" s="53">
        <f t="shared" si="5"/>
        <v>144.7757894736842</v>
      </c>
      <c r="H54" s="53">
        <f t="shared" si="5"/>
        <v>151.15578289473683</v>
      </c>
      <c r="I54" s="27"/>
      <c r="P54" s="22"/>
      <c r="T54" s="26"/>
    </row>
    <row r="55" spans="2:20" outlineLevel="1" x14ac:dyDescent="0.25">
      <c r="E55" s="26"/>
      <c r="F55" s="26"/>
      <c r="G55" s="26"/>
      <c r="H55" s="26"/>
      <c r="I55" s="23"/>
      <c r="T55" s="26"/>
    </row>
    <row r="56" spans="2:20" outlineLevel="1" x14ac:dyDescent="0.25">
      <c r="B56" s="24" t="s">
        <v>37</v>
      </c>
      <c r="D56" s="24"/>
      <c r="E56" s="26"/>
      <c r="F56" s="26"/>
      <c r="G56" s="26"/>
      <c r="H56" s="26"/>
      <c r="I56" s="23"/>
      <c r="T56" s="26"/>
    </row>
    <row r="57" spans="2:20" outlineLevel="1" x14ac:dyDescent="0.25">
      <c r="B57" s="21" t="s">
        <v>38</v>
      </c>
      <c r="E57" s="12">
        <v>20</v>
      </c>
      <c r="F57" s="26">
        <f>$E$57</f>
        <v>20</v>
      </c>
      <c r="G57" s="26">
        <f>$E$57</f>
        <v>20</v>
      </c>
      <c r="H57" s="26">
        <f>$E$57</f>
        <v>20</v>
      </c>
      <c r="I57" s="23"/>
    </row>
    <row r="58" spans="2:20" outlineLevel="1" x14ac:dyDescent="0.25">
      <c r="B58" s="21" t="s">
        <v>39</v>
      </c>
      <c r="E58" s="12">
        <v>7.5</v>
      </c>
      <c r="F58" s="26">
        <f>E58+F93</f>
        <v>-3.5684536011080397</v>
      </c>
      <c r="G58" s="26">
        <f>F58+G93</f>
        <v>2.6727767590893299</v>
      </c>
      <c r="H58" s="26">
        <f>G58+H93</f>
        <v>14.299082920176353</v>
      </c>
      <c r="I58" s="23"/>
    </row>
    <row r="59" spans="2:20" s="28" customFormat="1" outlineLevel="1" x14ac:dyDescent="0.25">
      <c r="B59" s="28" t="s">
        <v>40</v>
      </c>
      <c r="E59" s="53">
        <f>SUM(E57:E58)</f>
        <v>27.5</v>
      </c>
      <c r="F59" s="53">
        <f>SUM(F57:F58)</f>
        <v>16.43154639889196</v>
      </c>
      <c r="G59" s="53">
        <f>SUM(G57:G58)</f>
        <v>22.672776759089331</v>
      </c>
      <c r="H59" s="53">
        <f>SUM(H57:H58)</f>
        <v>34.299082920176353</v>
      </c>
      <c r="I59" s="27"/>
    </row>
    <row r="60" spans="2:20" outlineLevel="1" x14ac:dyDescent="0.25">
      <c r="B60" s="50"/>
      <c r="C60" s="50"/>
      <c r="D60" s="50"/>
      <c r="E60" s="52"/>
      <c r="F60" s="52"/>
      <c r="G60" s="52"/>
      <c r="H60" s="52"/>
      <c r="I60" s="23"/>
    </row>
    <row r="61" spans="2:20" s="28" customFormat="1" outlineLevel="1" x14ac:dyDescent="0.25">
      <c r="B61" s="28" t="s">
        <v>41</v>
      </c>
      <c r="E61" s="53">
        <f>E54+E59</f>
        <v>157.5</v>
      </c>
      <c r="F61" s="53">
        <f>F54+F59</f>
        <v>155.63680955678669</v>
      </c>
      <c r="G61" s="53">
        <f>G54+G59</f>
        <v>167.44856623277354</v>
      </c>
      <c r="H61" s="53">
        <f>H54+H59</f>
        <v>185.45486581491318</v>
      </c>
      <c r="I61" s="27"/>
    </row>
    <row r="62" spans="2:20" x14ac:dyDescent="0.25">
      <c r="D62" s="24"/>
      <c r="E62" s="26"/>
      <c r="F62" s="26"/>
      <c r="G62" s="26"/>
      <c r="H62" s="26"/>
      <c r="I62" s="23"/>
    </row>
    <row r="63" spans="2:20" x14ac:dyDescent="0.25">
      <c r="B63" s="6" t="s">
        <v>42</v>
      </c>
      <c r="C63" s="7"/>
      <c r="D63" s="6"/>
      <c r="E63" s="6" t="str">
        <f>E33</f>
        <v>Факт</v>
      </c>
      <c r="F63" s="6" t="str">
        <f t="shared" ref="F63:H63" si="6">F33</f>
        <v>1-й рік</v>
      </c>
      <c r="G63" s="6" t="str">
        <f t="shared" si="6"/>
        <v>2-й рік</v>
      </c>
      <c r="H63" s="6" t="str">
        <f t="shared" si="6"/>
        <v>3-й рік</v>
      </c>
      <c r="I63" s="23"/>
    </row>
    <row r="64" spans="2:20" outlineLevel="1" x14ac:dyDescent="0.25">
      <c r="B64" s="24"/>
      <c r="E64" s="26"/>
      <c r="F64" s="26"/>
      <c r="G64" s="26"/>
      <c r="H64" s="26"/>
      <c r="I64" s="23"/>
    </row>
    <row r="65" spans="2:11" outlineLevel="1" x14ac:dyDescent="0.25">
      <c r="B65" s="21" t="s">
        <v>43</v>
      </c>
      <c r="E65" s="26">
        <f>E41*E12+E42*E13+E37*E19</f>
        <v>20.762499999999999</v>
      </c>
      <c r="F65" s="26">
        <f>(F41+E41)/2*F12+(F42+E42)/2*F13+(F37+E37)/2*F19</f>
        <v>21.04307072368421</v>
      </c>
      <c r="G65" s="26">
        <f t="shared" ref="G65:H65" si="7">(G41+F41)/2*G12+(G42+F42)/2*G13+(G37+F37)/2*G19</f>
        <v>21.131882398026317</v>
      </c>
      <c r="H65" s="26">
        <f t="shared" si="7"/>
        <v>21.332687595065789</v>
      </c>
      <c r="I65" s="23"/>
    </row>
    <row r="66" spans="2:11" outlineLevel="1" x14ac:dyDescent="0.25">
      <c r="B66" s="21" t="s">
        <v>44</v>
      </c>
      <c r="D66" s="24"/>
      <c r="E66" s="26">
        <f>-E51*E15-E52*E16-E53*0.001</f>
        <v>-8.4849999999999994</v>
      </c>
      <c r="F66" s="26">
        <f>-((F51+E51)/2*F15+(F52+E52)/2*F16+(F53+E53)/2*0.001)</f>
        <v>-13.626763157894738</v>
      </c>
      <c r="G66" s="26">
        <f t="shared" ref="G66:H66" si="8">-((G51+F51)/2*G15+(G52+F52)/2*G16+(G53+F53)/2*0.001)</f>
        <v>-11.327452631578948</v>
      </c>
      <c r="H66" s="26">
        <f t="shared" si="8"/>
        <v>-8.4752101809210512</v>
      </c>
      <c r="I66" s="23"/>
    </row>
    <row r="67" spans="2:11" s="28" customFormat="1" outlineLevel="1" x14ac:dyDescent="0.25">
      <c r="B67" s="28" t="s">
        <v>45</v>
      </c>
      <c r="E67" s="53">
        <f>SUM(E65:E66)</f>
        <v>12.2775</v>
      </c>
      <c r="F67" s="53">
        <f>SUM(F65:F66)</f>
        <v>7.4163075657894719</v>
      </c>
      <c r="G67" s="53">
        <f>SUM(G65:G66)</f>
        <v>9.8044297664473685</v>
      </c>
      <c r="H67" s="53">
        <f>SUM(H65:H66)</f>
        <v>12.857477414144737</v>
      </c>
      <c r="I67" s="27"/>
    </row>
    <row r="68" spans="2:11" outlineLevel="1" x14ac:dyDescent="0.25">
      <c r="E68" s="26"/>
      <c r="F68" s="26"/>
      <c r="G68" s="26"/>
      <c r="H68" s="26"/>
      <c r="I68" s="23"/>
    </row>
    <row r="69" spans="2:11" outlineLevel="1" x14ac:dyDescent="0.25">
      <c r="B69" s="21" t="s">
        <v>46</v>
      </c>
      <c r="E69" s="12">
        <f>Normative_Perspective_Baseline!E72</f>
        <v>8</v>
      </c>
      <c r="F69" s="26">
        <f>E69*(1+F$21)</f>
        <v>7.84</v>
      </c>
      <c r="G69" s="26">
        <f t="shared" ref="G69:H70" si="9">F69*(1+G$21)</f>
        <v>7.84</v>
      </c>
      <c r="H69" s="26">
        <f t="shared" si="9"/>
        <v>7.9968000000000004</v>
      </c>
      <c r="I69" s="25"/>
    </row>
    <row r="70" spans="2:11" outlineLevel="1" x14ac:dyDescent="0.25">
      <c r="B70" s="21" t="s">
        <v>47</v>
      </c>
      <c r="E70" s="12">
        <f>Normative_Perspective_Baseline!E73</f>
        <v>-6</v>
      </c>
      <c r="F70" s="26">
        <f>E70*(1+F$21)</f>
        <v>-5.88</v>
      </c>
      <c r="G70" s="26">
        <f t="shared" si="9"/>
        <v>-5.88</v>
      </c>
      <c r="H70" s="26">
        <f t="shared" si="9"/>
        <v>-5.9976000000000003</v>
      </c>
      <c r="I70" s="25"/>
    </row>
    <row r="71" spans="2:11" s="28" customFormat="1" outlineLevel="1" x14ac:dyDescent="0.25">
      <c r="B71" s="28" t="s">
        <v>48</v>
      </c>
      <c r="E71" s="53">
        <f>SUM(E69:E70)</f>
        <v>2</v>
      </c>
      <c r="F71" s="53">
        <f>SUM(F69:F70)</f>
        <v>1.96</v>
      </c>
      <c r="G71" s="53">
        <f>SUM(G69:G70)</f>
        <v>1.96</v>
      </c>
      <c r="H71" s="53">
        <f>SUM(H69:H70)</f>
        <v>1.9992000000000001</v>
      </c>
      <c r="I71" s="27"/>
    </row>
    <row r="72" spans="2:11" s="28" customFormat="1" outlineLevel="1" x14ac:dyDescent="0.25">
      <c r="E72" s="53"/>
      <c r="F72" s="53"/>
      <c r="G72" s="53"/>
      <c r="H72" s="53"/>
      <c r="I72" s="27"/>
    </row>
    <row r="73" spans="2:11" s="28" customFormat="1" outlineLevel="1" x14ac:dyDescent="0.25">
      <c r="B73" s="21" t="s">
        <v>49</v>
      </c>
      <c r="E73" s="12">
        <f>Normative_Perspective_Baseline!E76</f>
        <v>2</v>
      </c>
      <c r="F73" s="26">
        <f>E73*(1+F$21)</f>
        <v>1.96</v>
      </c>
      <c r="G73" s="26">
        <f t="shared" ref="G73:H74" si="10">F73*(1+G$21)</f>
        <v>1.96</v>
      </c>
      <c r="H73" s="26">
        <f t="shared" si="10"/>
        <v>1.9992000000000001</v>
      </c>
      <c r="I73" s="97"/>
    </row>
    <row r="74" spans="2:11" s="28" customFormat="1" outlineLevel="1" x14ac:dyDescent="0.25">
      <c r="B74" s="21" t="s">
        <v>50</v>
      </c>
      <c r="E74" s="12">
        <f>Normative_Perspective_Baseline!E77</f>
        <v>-1.7</v>
      </c>
      <c r="F74" s="26">
        <f>E74*(1+F$21)</f>
        <v>-1.6659999999999999</v>
      </c>
      <c r="G74" s="26">
        <f t="shared" si="10"/>
        <v>-1.6659999999999999</v>
      </c>
      <c r="H74" s="26">
        <f t="shared" si="10"/>
        <v>-1.6993199999999999</v>
      </c>
      <c r="I74" s="97"/>
    </row>
    <row r="75" spans="2:11" outlineLevel="1" x14ac:dyDescent="0.25">
      <c r="D75" s="24"/>
      <c r="E75" s="1"/>
      <c r="F75" s="26"/>
      <c r="G75" s="26"/>
      <c r="H75" s="26"/>
      <c r="I75" s="97"/>
    </row>
    <row r="76" spans="2:11" outlineLevel="1" x14ac:dyDescent="0.25">
      <c r="B76" s="21" t="s">
        <v>51</v>
      </c>
      <c r="E76" s="12">
        <f>Normative_Perspective_Baseline!E79</f>
        <v>-1</v>
      </c>
      <c r="F76" s="26">
        <f>E76*(1+F21)</f>
        <v>-0.98</v>
      </c>
      <c r="G76" s="26">
        <f>F76*(1+G21)</f>
        <v>-0.98</v>
      </c>
      <c r="H76" s="26">
        <f>G76*(1+H21)</f>
        <v>-0.99960000000000004</v>
      </c>
      <c r="I76" s="97"/>
    </row>
    <row r="77" spans="2:11" ht="12.5" outlineLevel="1" x14ac:dyDescent="0.25">
      <c r="B77" s="21" t="s">
        <v>52</v>
      </c>
      <c r="E77" s="12">
        <f>Normative_Perspective_Baseline!E80</f>
        <v>-1.1000000000000001</v>
      </c>
      <c r="F77" s="26">
        <f>F43-E43</f>
        <v>-13.658373355263159</v>
      </c>
      <c r="G77" s="26">
        <f>G43-F43</f>
        <v>1.7650195559210573</v>
      </c>
      <c r="H77" s="26">
        <f>H43-G43</f>
        <v>2.9071851838815803</v>
      </c>
      <c r="I77" s="26" t="s">
        <v>70</v>
      </c>
    </row>
    <row r="78" spans="2:11" outlineLevel="1" x14ac:dyDescent="0.25">
      <c r="B78" s="21" t="s">
        <v>53</v>
      </c>
      <c r="D78" s="24"/>
      <c r="E78" s="12">
        <f>Normative_Perspective_Baseline!E81</f>
        <v>0.02</v>
      </c>
      <c r="F78" s="26">
        <f>F95</f>
        <v>-1.3003878116343492</v>
      </c>
      <c r="G78" s="26">
        <f>G95</f>
        <v>-0.43680884210526272</v>
      </c>
      <c r="H78" s="26">
        <f>H95</f>
        <v>-6.2401049910286374E-2</v>
      </c>
      <c r="I78" s="26" t="s">
        <v>71</v>
      </c>
    </row>
    <row r="79" spans="2:11" outlineLevel="1" x14ac:dyDescent="0.25">
      <c r="D79" s="24"/>
      <c r="E79" s="24"/>
      <c r="F79" s="24"/>
      <c r="G79" s="26"/>
      <c r="H79" s="26"/>
      <c r="I79" s="26"/>
    </row>
    <row r="80" spans="2:11" ht="12.5" outlineLevel="1" x14ac:dyDescent="0.25">
      <c r="B80" s="21" t="s">
        <v>97</v>
      </c>
      <c r="E80" s="12">
        <f>Normative_Perspective_Baseline!E83</f>
        <v>0.1</v>
      </c>
      <c r="F80" s="26">
        <f>F37-E37</f>
        <v>0</v>
      </c>
      <c r="G80" s="26">
        <f t="shared" ref="F80:H81" si="11">G37-F37</f>
        <v>0</v>
      </c>
      <c r="H80" s="26">
        <f t="shared" si="11"/>
        <v>0</v>
      </c>
      <c r="I80" s="26" t="s">
        <v>101</v>
      </c>
      <c r="K80" s="29"/>
    </row>
    <row r="81" spans="2:12" outlineLevel="1" x14ac:dyDescent="0.25">
      <c r="B81" s="21" t="s">
        <v>98</v>
      </c>
      <c r="D81" s="24"/>
      <c r="E81" s="12">
        <f>Normative_Perspective_Baseline!E84</f>
        <v>0.1</v>
      </c>
      <c r="F81" s="26">
        <f t="shared" si="11"/>
        <v>-0.30000000000000004</v>
      </c>
      <c r="G81" s="26">
        <f t="shared" si="11"/>
        <v>-8.4999999999999964E-2</v>
      </c>
      <c r="H81" s="26">
        <f>H38-G38</f>
        <v>0</v>
      </c>
      <c r="I81" s="26" t="s">
        <v>170</v>
      </c>
    </row>
    <row r="82" spans="2:12" outlineLevel="1" x14ac:dyDescent="0.25">
      <c r="D82" s="24"/>
      <c r="E82" s="24"/>
      <c r="F82" s="24"/>
      <c r="G82" s="26"/>
      <c r="H82" s="26"/>
      <c r="I82" s="26"/>
    </row>
    <row r="83" spans="2:12" outlineLevel="1" x14ac:dyDescent="0.25">
      <c r="B83" s="28" t="s">
        <v>161</v>
      </c>
      <c r="I83" s="26" t="s">
        <v>169</v>
      </c>
    </row>
    <row r="84" spans="2:12" ht="12.5" outlineLevel="1" x14ac:dyDescent="0.25">
      <c r="B84" s="54" t="s">
        <v>54</v>
      </c>
      <c r="E84" s="12"/>
      <c r="F84" s="26">
        <v>-3.5</v>
      </c>
      <c r="G84" s="26">
        <v>-3</v>
      </c>
      <c r="H84" s="26">
        <v>-1</v>
      </c>
      <c r="I84" s="21"/>
      <c r="K84" s="30"/>
      <c r="L84" s="29"/>
    </row>
    <row r="85" spans="2:12" outlineLevel="1" x14ac:dyDescent="0.25">
      <c r="B85" s="54" t="s">
        <v>55</v>
      </c>
      <c r="E85" s="12">
        <v>0</v>
      </c>
      <c r="F85" s="26">
        <v>-1</v>
      </c>
      <c r="G85" s="26">
        <v>-1</v>
      </c>
      <c r="H85" s="26">
        <v>-0.5</v>
      </c>
      <c r="I85" s="62"/>
    </row>
    <row r="86" spans="2:12" outlineLevel="1" x14ac:dyDescent="0.25">
      <c r="B86" s="54" t="s">
        <v>56</v>
      </c>
      <c r="E86" s="12">
        <v>0</v>
      </c>
      <c r="F86" s="26">
        <v>0</v>
      </c>
      <c r="G86" s="26">
        <v>0</v>
      </c>
      <c r="H86" s="26">
        <v>0</v>
      </c>
      <c r="L86" s="29"/>
    </row>
    <row r="87" spans="2:12" outlineLevel="1" x14ac:dyDescent="0.25"/>
    <row r="88" spans="2:12" outlineLevel="1" x14ac:dyDescent="0.25">
      <c r="B88" s="50"/>
      <c r="C88" s="50"/>
      <c r="D88" s="50"/>
      <c r="E88" s="5"/>
      <c r="F88" s="52"/>
      <c r="G88" s="52"/>
      <c r="H88" s="52"/>
      <c r="I88" s="23"/>
    </row>
    <row r="89" spans="2:12" outlineLevel="1" x14ac:dyDescent="0.25">
      <c r="B89" s="24" t="s">
        <v>57</v>
      </c>
      <c r="C89" s="24"/>
      <c r="E89" s="55">
        <f>E67+E71+E76+E77+E78+E84+E85+E86+E73+E74+E80+E81</f>
        <v>12.6975</v>
      </c>
      <c r="F89" s="55">
        <f>F67+F71+F76+F77+F78+F84+F85+F86+F73+F74+F80+F81</f>
        <v>-11.06845360110804</v>
      </c>
      <c r="G89" s="55">
        <f>G67+G71+G76+G77+G78+G84+G85+G86+G73+G74+G80+G81</f>
        <v>8.3216404802631594</v>
      </c>
      <c r="H89" s="55">
        <f t="shared" ref="H89" si="12">H67+H71+H76+H77+H78+H84+H85+H86+H73+H74+H80+H81</f>
        <v>15.50174154811603</v>
      </c>
      <c r="I89" s="23"/>
    </row>
    <row r="90" spans="2:12" outlineLevel="1" x14ac:dyDescent="0.25">
      <c r="B90" s="24"/>
      <c r="C90" s="24"/>
      <c r="E90" s="26"/>
      <c r="F90" s="26"/>
      <c r="G90" s="26"/>
      <c r="H90" s="26"/>
      <c r="I90" s="23"/>
    </row>
    <row r="91" spans="2:12" outlineLevel="1" x14ac:dyDescent="0.25">
      <c r="B91" s="21" t="s">
        <v>58</v>
      </c>
      <c r="E91" s="26">
        <f>MIN(-E89*0.25, 0)</f>
        <v>-3.1743749999999999</v>
      </c>
      <c r="F91" s="26">
        <f>MIN(-F89*0.25, 0)</f>
        <v>0</v>
      </c>
      <c r="G91" s="26">
        <f>MIN(-G89*0.25, 0)</f>
        <v>-2.0804101200657898</v>
      </c>
      <c r="H91" s="26">
        <f>MIN(-H89*0.25, 0)</f>
        <v>-3.8754353870290075</v>
      </c>
      <c r="I91" s="23"/>
    </row>
    <row r="92" spans="2:12" outlineLevel="1" x14ac:dyDescent="0.25">
      <c r="B92" s="50"/>
      <c r="C92" s="50"/>
      <c r="D92" s="50"/>
      <c r="E92" s="52"/>
      <c r="F92" s="52"/>
      <c r="G92" s="52"/>
      <c r="H92" s="52"/>
      <c r="I92" s="23"/>
    </row>
    <row r="93" spans="2:12" outlineLevel="1" x14ac:dyDescent="0.25">
      <c r="B93" s="24" t="s">
        <v>59</v>
      </c>
      <c r="C93" s="24"/>
      <c r="E93" s="55">
        <f>E89+E91</f>
        <v>9.5231250000000003</v>
      </c>
      <c r="F93" s="55">
        <f>F89+F91</f>
        <v>-11.06845360110804</v>
      </c>
      <c r="G93" s="55">
        <f t="shared" ref="G93:H93" si="13">G89+G91</f>
        <v>6.2412303601973695</v>
      </c>
      <c r="H93" s="55">
        <f t="shared" si="13"/>
        <v>11.626306161087022</v>
      </c>
      <c r="I93" s="23" t="s">
        <v>110</v>
      </c>
    </row>
    <row r="94" spans="2:12" outlineLevel="1" x14ac:dyDescent="0.25">
      <c r="B94" s="24"/>
      <c r="C94" s="24"/>
      <c r="E94" s="55"/>
      <c r="F94" s="55"/>
      <c r="G94" s="55"/>
      <c r="H94" s="55"/>
      <c r="I94" s="23"/>
    </row>
    <row r="95" spans="2:12" s="28" customFormat="1" outlineLevel="1" x14ac:dyDescent="0.25">
      <c r="B95" s="6" t="s">
        <v>60</v>
      </c>
      <c r="C95" s="6"/>
      <c r="D95" s="6"/>
      <c r="E95" s="6">
        <v>0.02</v>
      </c>
      <c r="F95" s="11">
        <f>F96*(F3/E3-1)</f>
        <v>-1.3003878116343492</v>
      </c>
      <c r="G95" s="11">
        <f>G96*(G3/F3-1)</f>
        <v>-0.43680884210526272</v>
      </c>
      <c r="H95" s="11">
        <f>H96*(H3/G3-1)</f>
        <v>-6.2401049910286374E-2</v>
      </c>
      <c r="I95" s="27"/>
    </row>
    <row r="96" spans="2:12" outlineLevel="1" x14ac:dyDescent="0.25">
      <c r="B96" s="21" t="s">
        <v>61</v>
      </c>
      <c r="E96" s="26">
        <f>(E42+E45)-E52</f>
        <v>0</v>
      </c>
      <c r="F96" s="26">
        <f>(F42+F45)-F52</f>
        <v>-4.9414736842105285</v>
      </c>
      <c r="G96" s="26">
        <f>(G42+G45)-G52</f>
        <v>-4.368088421052633</v>
      </c>
      <c r="H96" s="26">
        <f>(H42+H45)-H52</f>
        <v>-0.89047984736841101</v>
      </c>
      <c r="I96" s="23"/>
    </row>
    <row r="97" spans="2:9" x14ac:dyDescent="0.25">
      <c r="B97" s="21" t="s">
        <v>222</v>
      </c>
      <c r="E97" s="26">
        <f>E96/E137</f>
        <v>0</v>
      </c>
      <c r="F97" s="38">
        <f>F96/F137</f>
        <v>-0.21287621879254068</v>
      </c>
      <c r="G97" s="38">
        <f>G96/G137</f>
        <v>-0.17157605108638405</v>
      </c>
      <c r="H97" s="38">
        <f>H96/H137</f>
        <v>-3.3376995622262262E-2</v>
      </c>
      <c r="I97" s="23"/>
    </row>
    <row r="98" spans="2:9" x14ac:dyDescent="0.25">
      <c r="B98" s="6" t="s">
        <v>62</v>
      </c>
      <c r="C98" s="7"/>
      <c r="D98" s="6"/>
      <c r="E98" s="6"/>
      <c r="F98" s="6"/>
      <c r="G98" s="6"/>
      <c r="H98" s="6"/>
      <c r="I98" s="31"/>
    </row>
    <row r="99" spans="2:9" x14ac:dyDescent="0.25">
      <c r="B99" s="28" t="s">
        <v>205</v>
      </c>
      <c r="C99" s="28"/>
      <c r="D99" s="28"/>
      <c r="E99" s="53"/>
      <c r="F99" s="53"/>
      <c r="G99" s="53"/>
      <c r="H99" s="53"/>
    </row>
    <row r="100" spans="2:9" x14ac:dyDescent="0.25">
      <c r="B100" s="21" t="s">
        <v>188</v>
      </c>
      <c r="E100" s="26">
        <f>E57+E58</f>
        <v>27.5</v>
      </c>
      <c r="F100" s="26">
        <f>F57+F58</f>
        <v>16.43154639889196</v>
      </c>
      <c r="G100" s="26">
        <f>G57+G58</f>
        <v>22.672776759089331</v>
      </c>
      <c r="H100" s="26">
        <f>H57+H58</f>
        <v>34.299082920176353</v>
      </c>
    </row>
    <row r="101" spans="2:9" ht="12.5" x14ac:dyDescent="0.25">
      <c r="B101" s="21" t="s">
        <v>189</v>
      </c>
      <c r="E101" s="26">
        <f>E100</f>
        <v>27.5</v>
      </c>
      <c r="F101" s="26">
        <f t="shared" ref="F101:H101" si="14">F100</f>
        <v>16.43154639889196</v>
      </c>
      <c r="G101" s="26">
        <f t="shared" si="14"/>
        <v>22.672776759089331</v>
      </c>
      <c r="H101" s="26">
        <f t="shared" si="14"/>
        <v>34.299082920176353</v>
      </c>
      <c r="I101" s="26"/>
    </row>
    <row r="102" spans="2:9" x14ac:dyDescent="0.25">
      <c r="B102" s="21" t="s">
        <v>63</v>
      </c>
      <c r="E102" s="26">
        <f>E57+E58+E53</f>
        <v>37.5</v>
      </c>
      <c r="F102" s="26">
        <f>F57+F58+F53</f>
        <v>26.43154639889196</v>
      </c>
      <c r="G102" s="26">
        <f>G57+G58+G53</f>
        <v>32.672776759089331</v>
      </c>
      <c r="H102" s="26">
        <f>H57+H58+H53</f>
        <v>44.299082920176353</v>
      </c>
    </row>
    <row r="103" spans="2:9" x14ac:dyDescent="0.25">
      <c r="B103" s="28"/>
      <c r="C103" s="28"/>
      <c r="D103" s="28"/>
      <c r="E103" s="53"/>
      <c r="F103" s="53"/>
      <c r="G103" s="53"/>
      <c r="H103" s="53"/>
    </row>
    <row r="104" spans="2:9" x14ac:dyDescent="0.25">
      <c r="B104" s="21" t="s">
        <v>64</v>
      </c>
      <c r="E104" s="26">
        <f>E39</f>
        <v>127.5</v>
      </c>
      <c r="F104" s="26">
        <f>F39</f>
        <v>126.9473832236842</v>
      </c>
      <c r="G104" s="26">
        <f>G39</f>
        <v>134.34070574013157</v>
      </c>
      <c r="H104" s="26">
        <f>H39</f>
        <v>146.69593964111843</v>
      </c>
    </row>
    <row r="105" spans="2:9" x14ac:dyDescent="0.25">
      <c r="B105" s="21" t="s">
        <v>65</v>
      </c>
      <c r="E105" s="26">
        <f>E46</f>
        <v>20</v>
      </c>
      <c r="F105" s="26">
        <f>F46</f>
        <v>20</v>
      </c>
      <c r="G105" s="26">
        <f>G46</f>
        <v>20</v>
      </c>
      <c r="H105" s="26">
        <f>H46</f>
        <v>20</v>
      </c>
    </row>
    <row r="106" spans="2:9" x14ac:dyDescent="0.25">
      <c r="E106" s="26"/>
      <c r="F106" s="26"/>
      <c r="G106" s="26"/>
      <c r="H106" s="26"/>
    </row>
    <row r="107" spans="2:9" x14ac:dyDescent="0.25">
      <c r="B107" s="21" t="s">
        <v>66</v>
      </c>
      <c r="E107" s="26">
        <f>E112*E121</f>
        <v>0</v>
      </c>
      <c r="F107" s="26">
        <v>0.5</v>
      </c>
      <c r="G107" s="26">
        <v>0.44</v>
      </c>
      <c r="H107" s="26">
        <v>0.09</v>
      </c>
      <c r="I107" s="31"/>
    </row>
    <row r="108" spans="2:9" x14ac:dyDescent="0.25">
      <c r="B108" s="21" t="s">
        <v>67</v>
      </c>
      <c r="E108" s="26">
        <f>Normative_Perspective_Baseline!E111</f>
        <v>2</v>
      </c>
      <c r="F108" s="26">
        <v>2</v>
      </c>
      <c r="G108" s="26">
        <f>(AVERAGE(ABS(E65+E66),ABS(F65+F66),ABS(G65+G66))+MAX(AVERAGE(E69:G69),ABS(AVERAGE(E70:G70)))+MAX(AVERAGE(E73:G73),ABS(AVERAGE(E74:G74)))+AVERAGE(ABS(E80+E81),ABS(F80+F81),ABS(G80+G81)))*15%</f>
        <v>2.9841618666118417</v>
      </c>
      <c r="H108" s="26">
        <f>(AVERAGE(ABS(F65+F66),ABS(G65+G66),ABS(H65+H66))+MAX(AVERAGE(F69:H69),ABS(AVERAGE(F70:H70)))+MAX(AVERAGE(F73:H73),ABS(AVERAGE(F74:H74)))+AVERAGE(ABS(F80+F81),ABS(G80+G81),ABS(H80+H81)))*15%</f>
        <v>3.002960737319079</v>
      </c>
      <c r="I108" s="31"/>
    </row>
    <row r="109" spans="2:9" x14ac:dyDescent="0.25">
      <c r="E109" s="26"/>
      <c r="F109" s="26"/>
      <c r="G109" s="26"/>
      <c r="H109" s="26"/>
    </row>
    <row r="110" spans="2:9" x14ac:dyDescent="0.25">
      <c r="B110" s="28" t="s">
        <v>177</v>
      </c>
      <c r="C110" s="28"/>
      <c r="D110" s="28"/>
      <c r="E110" s="53">
        <f>SUM(E111:E113)</f>
        <v>167.5</v>
      </c>
      <c r="F110" s="53">
        <f>SUM(F111:F113)</f>
        <v>171.9473832236842</v>
      </c>
      <c r="G110" s="53">
        <f t="shared" ref="G110:H110" si="15">SUM(G111:G113)</f>
        <v>188.58232440625</v>
      </c>
      <c r="H110" s="53">
        <f t="shared" si="15"/>
        <v>197.62554701430923</v>
      </c>
    </row>
    <row r="111" spans="2:9" x14ac:dyDescent="0.25">
      <c r="B111" s="21" t="s">
        <v>6</v>
      </c>
      <c r="E111" s="26">
        <f>E104+E105</f>
        <v>147.5</v>
      </c>
      <c r="F111" s="26">
        <f>F104+F105</f>
        <v>146.9473832236842</v>
      </c>
      <c r="G111" s="26">
        <f>G104+G105</f>
        <v>154.34070574013157</v>
      </c>
      <c r="H111" s="26">
        <f>H104+H105</f>
        <v>166.69593964111843</v>
      </c>
    </row>
    <row r="112" spans="2:9" s="28" customFormat="1" x14ac:dyDescent="0.25">
      <c r="B112" s="21" t="s">
        <v>7</v>
      </c>
      <c r="C112" s="21"/>
      <c r="D112" s="21"/>
      <c r="E112" s="26">
        <f>E96</f>
        <v>0</v>
      </c>
      <c r="F112" s="26">
        <f>F107*10</f>
        <v>5</v>
      </c>
      <c r="G112" s="26">
        <f t="shared" ref="G112:H112" si="16">G107*10</f>
        <v>4.4000000000000004</v>
      </c>
      <c r="H112" s="26">
        <f t="shared" si="16"/>
        <v>0.89999999999999991</v>
      </c>
      <c r="I112" s="32"/>
    </row>
    <row r="113" spans="2:17" x14ac:dyDescent="0.25">
      <c r="B113" s="21" t="s">
        <v>8</v>
      </c>
      <c r="E113" s="26">
        <f>E108/E26</f>
        <v>20</v>
      </c>
      <c r="F113" s="26">
        <f>F108/F26</f>
        <v>20</v>
      </c>
      <c r="G113" s="26">
        <f>G108/G26</f>
        <v>29.841618666118414</v>
      </c>
      <c r="H113" s="26">
        <f>H108/H26</f>
        <v>30.029607373190789</v>
      </c>
    </row>
    <row r="114" spans="2:17" x14ac:dyDescent="0.25">
      <c r="E114" s="26"/>
      <c r="F114" s="26"/>
      <c r="G114" s="26"/>
      <c r="H114" s="26"/>
    </row>
    <row r="115" spans="2:17" x14ac:dyDescent="0.25">
      <c r="B115" s="21" t="s">
        <v>229</v>
      </c>
      <c r="E115" s="56">
        <f>E100/E110</f>
        <v>0.16417910447761194</v>
      </c>
      <c r="F115" s="56">
        <f>F100/F110</f>
        <v>9.5561479859896256E-2</v>
      </c>
      <c r="G115" s="56">
        <f>G100/G110</f>
        <v>0.12022747535048364</v>
      </c>
      <c r="H115" s="56">
        <f>H100/H110</f>
        <v>0.17355591642052684</v>
      </c>
    </row>
    <row r="116" spans="2:17" s="20" customFormat="1" x14ac:dyDescent="0.25">
      <c r="B116" s="21" t="s">
        <v>230</v>
      </c>
      <c r="C116" s="21"/>
      <c r="D116" s="21"/>
      <c r="E116" s="57">
        <f>E115</f>
        <v>0.16417910447761194</v>
      </c>
      <c r="F116" s="57">
        <f>F115</f>
        <v>9.5561479859896256E-2</v>
      </c>
      <c r="G116" s="57">
        <f>G115</f>
        <v>0.12022747535048364</v>
      </c>
      <c r="H116" s="57">
        <f>H115</f>
        <v>0.17355591642052684</v>
      </c>
      <c r="P116" s="35"/>
      <c r="Q116" s="35"/>
    </row>
    <row r="117" spans="2:17" x14ac:dyDescent="0.25">
      <c r="B117" s="21" t="s">
        <v>231</v>
      </c>
      <c r="E117" s="56">
        <f>E102/E110</f>
        <v>0.22388059701492538</v>
      </c>
      <c r="F117" s="56">
        <f>F102/F110</f>
        <v>0.15371880573784302</v>
      </c>
      <c r="G117" s="56">
        <f>G102/G110</f>
        <v>0.17325471441694931</v>
      </c>
      <c r="H117" s="56">
        <f>H102/H110</f>
        <v>0.2241566618761533</v>
      </c>
    </row>
    <row r="119" spans="2:17" x14ac:dyDescent="0.3">
      <c r="B119" s="20" t="s">
        <v>182</v>
      </c>
      <c r="C119" s="20"/>
      <c r="D119" s="20"/>
      <c r="E119" s="111">
        <f>E28</f>
        <v>5.6250000000000001E-2</v>
      </c>
      <c r="F119" s="111">
        <f>F28</f>
        <v>5.6250000000000001E-2</v>
      </c>
      <c r="G119" s="111">
        <f>G28</f>
        <v>5.6250000000000001E-2</v>
      </c>
      <c r="H119" s="111">
        <f>H28</f>
        <v>5.6250000000000001E-2</v>
      </c>
    </row>
    <row r="120" spans="2:17" s="28" customFormat="1" x14ac:dyDescent="0.3">
      <c r="B120" s="20" t="s">
        <v>191</v>
      </c>
      <c r="C120" s="21"/>
      <c r="D120" s="21"/>
      <c r="E120" s="16">
        <f>E27</f>
        <v>7.4999999999999997E-2</v>
      </c>
      <c r="F120" s="16">
        <f>F27</f>
        <v>7.4999999999999997E-2</v>
      </c>
      <c r="G120" s="16">
        <f>G27</f>
        <v>7.4999999999999997E-2</v>
      </c>
      <c r="H120" s="16">
        <f>H27</f>
        <v>7.4999999999999997E-2</v>
      </c>
      <c r="I120" s="32"/>
    </row>
    <row r="121" spans="2:17" s="20" customFormat="1" x14ac:dyDescent="0.3">
      <c r="B121" s="20" t="s">
        <v>180</v>
      </c>
      <c r="E121" s="16">
        <f>E26</f>
        <v>0.1</v>
      </c>
      <c r="F121" s="16">
        <f>F26</f>
        <v>0.1</v>
      </c>
      <c r="G121" s="16">
        <f>G26</f>
        <v>0.1</v>
      </c>
      <c r="H121" s="16">
        <f>H26</f>
        <v>0.1</v>
      </c>
    </row>
    <row r="122" spans="2:17" x14ac:dyDescent="0.3">
      <c r="B122" s="20" t="s">
        <v>193</v>
      </c>
      <c r="C122" s="20"/>
      <c r="D122" s="20"/>
      <c r="E122" s="16">
        <v>0.02</v>
      </c>
      <c r="F122" s="16">
        <v>0.02</v>
      </c>
      <c r="G122" s="16">
        <v>0.02</v>
      </c>
      <c r="H122" s="16">
        <v>0.02</v>
      </c>
    </row>
    <row r="123" spans="2:17" s="110" customFormat="1" x14ac:dyDescent="0.3">
      <c r="B123" s="20" t="s">
        <v>107</v>
      </c>
      <c r="C123" s="20"/>
      <c r="D123" s="20"/>
      <c r="E123" s="16">
        <f>SUM(E30:E31)</f>
        <v>0</v>
      </c>
      <c r="F123" s="16">
        <f>SUM(F30:F31)</f>
        <v>1.6250000000000001E-2</v>
      </c>
      <c r="G123" s="16">
        <f>SUM(G30:G31)</f>
        <v>3.2500000000000001E-2</v>
      </c>
      <c r="H123" s="16">
        <f>SUM(H30:H31)</f>
        <v>3.8750000000000007E-2</v>
      </c>
    </row>
    <row r="124" spans="2:17" s="110" customFormat="1" x14ac:dyDescent="0.25"/>
    <row r="125" spans="2:17" s="20" customFormat="1" x14ac:dyDescent="0.25">
      <c r="B125" s="126" t="s">
        <v>207</v>
      </c>
      <c r="C125" s="126"/>
      <c r="D125" s="126"/>
      <c r="E125" s="57">
        <f>E119+E122</f>
        <v>7.6249999999999998E-2</v>
      </c>
      <c r="F125" s="57">
        <f>F119+F122</f>
        <v>7.6249999999999998E-2</v>
      </c>
      <c r="G125" s="57">
        <f>G119+G122</f>
        <v>7.6249999999999998E-2</v>
      </c>
      <c r="H125" s="57">
        <f>H119+H122</f>
        <v>7.6249999999999998E-2</v>
      </c>
    </row>
    <row r="126" spans="2:17" s="20" customFormat="1" x14ac:dyDescent="0.25">
      <c r="B126" s="126" t="s">
        <v>208</v>
      </c>
      <c r="C126" s="126"/>
      <c r="D126" s="126"/>
      <c r="E126" s="57">
        <f>E120+E122</f>
        <v>9.5000000000000001E-2</v>
      </c>
      <c r="F126" s="57">
        <f>F120+F122</f>
        <v>9.5000000000000001E-2</v>
      </c>
      <c r="G126" s="57">
        <f>G120+G122</f>
        <v>9.5000000000000001E-2</v>
      </c>
      <c r="H126" s="57">
        <f>H120+H122</f>
        <v>9.5000000000000001E-2</v>
      </c>
    </row>
    <row r="127" spans="2:17" x14ac:dyDescent="0.25">
      <c r="B127" s="126" t="s">
        <v>209</v>
      </c>
      <c r="C127" s="126"/>
      <c r="D127" s="126"/>
      <c r="E127" s="57">
        <f>E121+E122</f>
        <v>0.12000000000000001</v>
      </c>
      <c r="F127" s="57">
        <f>F121+F122</f>
        <v>0.12000000000000001</v>
      </c>
      <c r="G127" s="57">
        <f>G121+G122</f>
        <v>0.12000000000000001</v>
      </c>
      <c r="H127" s="57">
        <f>H121+H122</f>
        <v>0.12000000000000001</v>
      </c>
    </row>
    <row r="129" spans="2:32" s="20" customFormat="1" x14ac:dyDescent="0.25">
      <c r="B129" s="20" t="s">
        <v>112</v>
      </c>
      <c r="E129" s="58">
        <v>1.4999999999999999E-2</v>
      </c>
      <c r="F129" s="58">
        <v>1.4999999999999999E-2</v>
      </c>
      <c r="G129" s="58">
        <v>1.4999999999999999E-2</v>
      </c>
      <c r="H129" s="58">
        <v>1.4999999999999999E-2</v>
      </c>
    </row>
    <row r="130" spans="2:32" s="20" customFormat="1" x14ac:dyDescent="0.3">
      <c r="B130" s="73" t="s">
        <v>194</v>
      </c>
      <c r="E130" s="57">
        <f>E125+E129</f>
        <v>9.1249999999999998E-2</v>
      </c>
      <c r="F130" s="57">
        <f>F125+F129</f>
        <v>9.1249999999999998E-2</v>
      </c>
      <c r="G130" s="57">
        <f t="shared" ref="G130:H130" si="17">G125+G129</f>
        <v>9.1249999999999998E-2</v>
      </c>
      <c r="H130" s="57">
        <f t="shared" si="17"/>
        <v>9.1249999999999998E-2</v>
      </c>
    </row>
    <row r="131" spans="2:32" s="20" customFormat="1" x14ac:dyDescent="0.3">
      <c r="B131" s="73" t="s">
        <v>195</v>
      </c>
      <c r="E131" s="57">
        <f>E126+E129</f>
        <v>0.11</v>
      </c>
      <c r="F131" s="57">
        <f>F126+F129</f>
        <v>0.11</v>
      </c>
      <c r="G131" s="57">
        <f t="shared" ref="G131:H131" si="18">G126+G129</f>
        <v>0.11</v>
      </c>
      <c r="H131" s="57">
        <f t="shared" si="18"/>
        <v>0.11</v>
      </c>
    </row>
    <row r="132" spans="2:32" x14ac:dyDescent="0.3">
      <c r="B132" s="73" t="s">
        <v>196</v>
      </c>
      <c r="E132" s="57">
        <f>E127+E129</f>
        <v>0.13500000000000001</v>
      </c>
      <c r="F132" s="57">
        <f>F127+F129</f>
        <v>0.13500000000000001</v>
      </c>
      <c r="G132" s="57">
        <f t="shared" ref="G132:H132" si="19">G127+G129</f>
        <v>0.13500000000000001</v>
      </c>
      <c r="H132" s="57">
        <f t="shared" si="19"/>
        <v>0.13500000000000001</v>
      </c>
    </row>
    <row r="133" spans="2:32" x14ac:dyDescent="0.25">
      <c r="E133" s="26"/>
      <c r="F133" s="26"/>
      <c r="G133" s="26"/>
      <c r="H133" s="26"/>
    </row>
    <row r="134" spans="2:32" x14ac:dyDescent="0.3">
      <c r="B134" s="73" t="s">
        <v>173</v>
      </c>
      <c r="E134" s="26"/>
      <c r="F134" s="26"/>
      <c r="G134" s="26"/>
      <c r="H134" s="26"/>
    </row>
    <row r="135" spans="2:32" x14ac:dyDescent="0.3">
      <c r="B135" s="100" t="s">
        <v>188</v>
      </c>
      <c r="C135" s="77"/>
      <c r="D135" s="77"/>
      <c r="E135" s="94">
        <f>E130*E110</f>
        <v>15.284374999999999</v>
      </c>
      <c r="F135" s="94">
        <f>F130*F110</f>
        <v>15.690198719161183</v>
      </c>
      <c r="G135" s="94">
        <f>G130*G110</f>
        <v>17.20813710207031</v>
      </c>
      <c r="H135" s="94">
        <f>H130*H110</f>
        <v>18.033331165055717</v>
      </c>
    </row>
    <row r="136" spans="2:32" x14ac:dyDescent="0.3">
      <c r="B136" s="100" t="s">
        <v>189</v>
      </c>
      <c r="C136" s="77"/>
      <c r="D136" s="77"/>
      <c r="E136" s="94">
        <f>E131*E110</f>
        <v>18.425000000000001</v>
      </c>
      <c r="F136" s="94">
        <f>F131*F110</f>
        <v>18.914212154605263</v>
      </c>
      <c r="G136" s="94">
        <f>G131*G110</f>
        <v>20.744055684687499</v>
      </c>
      <c r="H136" s="94">
        <f>H131*H110</f>
        <v>21.738810171574016</v>
      </c>
    </row>
    <row r="137" spans="2:32" x14ac:dyDescent="0.3">
      <c r="B137" s="100" t="s">
        <v>63</v>
      </c>
      <c r="C137" s="77"/>
      <c r="D137" s="77"/>
      <c r="E137" s="94">
        <f>E132*E110</f>
        <v>22.612500000000001</v>
      </c>
      <c r="F137" s="94">
        <f>F132*F110</f>
        <v>23.212896735197369</v>
      </c>
      <c r="G137" s="94">
        <f>G132*G110</f>
        <v>25.45861379484375</v>
      </c>
      <c r="H137" s="94">
        <f>H132*H110</f>
        <v>26.679448846931749</v>
      </c>
    </row>
    <row r="138" spans="2:32" x14ac:dyDescent="0.25">
      <c r="E138" s="26"/>
      <c r="F138" s="26"/>
      <c r="G138" s="26"/>
      <c r="H138" s="26"/>
    </row>
    <row r="139" spans="2:32" s="20" customFormat="1" ht="13.5" thickBot="1" x14ac:dyDescent="0.3">
      <c r="B139" s="45" t="s">
        <v>206</v>
      </c>
      <c r="E139" s="74"/>
      <c r="F139" s="74"/>
      <c r="G139" s="74"/>
      <c r="H139" s="74"/>
    </row>
    <row r="140" spans="2:32" s="20" customFormat="1" ht="13.5" thickTop="1" x14ac:dyDescent="0.25">
      <c r="B140" s="100" t="s">
        <v>188</v>
      </c>
      <c r="E140" s="95">
        <f t="shared" ref="E140:H142" si="20">E100-E135</f>
        <v>12.215625000000001</v>
      </c>
      <c r="F140" s="95">
        <f t="shared" si="20"/>
        <v>0.74134767973077764</v>
      </c>
      <c r="G140" s="95">
        <f t="shared" si="20"/>
        <v>5.4646396570190205</v>
      </c>
      <c r="H140" s="95">
        <f t="shared" si="20"/>
        <v>16.265751755120636</v>
      </c>
      <c r="J140" s="33"/>
      <c r="K140" s="33"/>
      <c r="L140" s="34" t="str">
        <f>E1</f>
        <v>Факт</v>
      </c>
      <c r="M140" s="34" t="str">
        <f>F1</f>
        <v>1-й рік</v>
      </c>
      <c r="N140" s="34" t="str">
        <f>G1</f>
        <v>2-й рік</v>
      </c>
      <c r="O140" s="34" t="str">
        <f>H1</f>
        <v>3-й рік</v>
      </c>
      <c r="R140" s="33"/>
      <c r="S140" s="33"/>
      <c r="T140" s="34" t="str">
        <f>L140</f>
        <v>Факт</v>
      </c>
      <c r="U140" s="34" t="str">
        <f>M140</f>
        <v>1-й рік</v>
      </c>
      <c r="V140" s="34" t="str">
        <f>N140</f>
        <v>2-й рік</v>
      </c>
      <c r="W140" s="34" t="str">
        <f>O140</f>
        <v>3-й рік</v>
      </c>
      <c r="AA140" s="33"/>
      <c r="AB140" s="33"/>
      <c r="AC140" s="34" t="str">
        <f>L140</f>
        <v>Факт</v>
      </c>
      <c r="AD140" s="34" t="str">
        <f t="shared" ref="AD140:AF140" si="21">M140</f>
        <v>1-й рік</v>
      </c>
      <c r="AE140" s="34" t="str">
        <f t="shared" si="21"/>
        <v>2-й рік</v>
      </c>
      <c r="AF140" s="34" t="str">
        <f t="shared" si="21"/>
        <v>3-й рік</v>
      </c>
    </row>
    <row r="141" spans="2:32" s="20" customFormat="1" x14ac:dyDescent="0.25">
      <c r="B141" s="100" t="s">
        <v>189</v>
      </c>
      <c r="E141" s="95">
        <f t="shared" si="20"/>
        <v>9.0749999999999993</v>
      </c>
      <c r="F141" s="95">
        <f t="shared" si="20"/>
        <v>-2.4826657557133025</v>
      </c>
      <c r="G141" s="95">
        <f t="shared" si="20"/>
        <v>1.9287210744018317</v>
      </c>
      <c r="H141" s="95">
        <f t="shared" si="20"/>
        <v>12.560272748602337</v>
      </c>
      <c r="J141" s="32"/>
      <c r="K141" s="36" t="s">
        <v>210</v>
      </c>
      <c r="L141" s="58">
        <f>E121+E122</f>
        <v>0.12000000000000001</v>
      </c>
      <c r="M141" s="58">
        <f>F121+F122</f>
        <v>0.12000000000000001</v>
      </c>
      <c r="N141" s="58">
        <f>G121+G122</f>
        <v>0.12000000000000001</v>
      </c>
      <c r="O141" s="58">
        <f>H121+H122</f>
        <v>0.12000000000000001</v>
      </c>
      <c r="R141" s="32"/>
      <c r="S141" s="36" t="s">
        <v>210</v>
      </c>
      <c r="T141" s="58">
        <f>E120+E122</f>
        <v>9.5000000000000001E-2</v>
      </c>
      <c r="U141" s="58">
        <f>F120+F122</f>
        <v>9.5000000000000001E-2</v>
      </c>
      <c r="V141" s="58">
        <f>G120+G122</f>
        <v>9.5000000000000001E-2</v>
      </c>
      <c r="W141" s="58">
        <f>H120+H122</f>
        <v>9.5000000000000001E-2</v>
      </c>
      <c r="AA141" s="32"/>
      <c r="AB141" s="36" t="s">
        <v>210</v>
      </c>
      <c r="AC141" s="58">
        <f>E119+E122</f>
        <v>7.6249999999999998E-2</v>
      </c>
      <c r="AD141" s="58">
        <f>F119+F122</f>
        <v>7.6249999999999998E-2</v>
      </c>
      <c r="AE141" s="58">
        <f>G119+G122</f>
        <v>7.6249999999999998E-2</v>
      </c>
      <c r="AF141" s="58">
        <f>H119+H122</f>
        <v>7.6249999999999998E-2</v>
      </c>
    </row>
    <row r="142" spans="2:32" s="20" customFormat="1" x14ac:dyDescent="0.25">
      <c r="B142" s="100" t="s">
        <v>63</v>
      </c>
      <c r="E142" s="95">
        <f t="shared" si="20"/>
        <v>14.887499999999999</v>
      </c>
      <c r="F142" s="95">
        <f t="shared" si="20"/>
        <v>3.2186496636945918</v>
      </c>
      <c r="G142" s="95">
        <f t="shared" si="20"/>
        <v>7.2141629642455811</v>
      </c>
      <c r="H142" s="95">
        <f t="shared" si="20"/>
        <v>17.619634073244605</v>
      </c>
      <c r="J142" s="28"/>
      <c r="K142" s="37" t="s">
        <v>2</v>
      </c>
      <c r="L142" s="38">
        <f t="shared" ref="L142" si="22">D142</f>
        <v>0</v>
      </c>
      <c r="M142" s="38">
        <v>0</v>
      </c>
      <c r="N142" s="38">
        <v>0</v>
      </c>
      <c r="O142" s="38">
        <v>0</v>
      </c>
      <c r="R142" s="28"/>
      <c r="S142" s="37" t="s">
        <v>2</v>
      </c>
      <c r="T142" s="56">
        <f>L142</f>
        <v>0</v>
      </c>
      <c r="U142" s="56">
        <f t="shared" ref="U142:W142" si="23">M142</f>
        <v>0</v>
      </c>
      <c r="V142" s="56">
        <f t="shared" si="23"/>
        <v>0</v>
      </c>
      <c r="W142" s="56">
        <f t="shared" si="23"/>
        <v>0</v>
      </c>
      <c r="AA142" s="28"/>
      <c r="AB142" s="37" t="s">
        <v>2</v>
      </c>
      <c r="AC142" s="56">
        <f>T142</f>
        <v>0</v>
      </c>
      <c r="AD142" s="56">
        <f t="shared" ref="AD142:AF142" si="24">U142</f>
        <v>0</v>
      </c>
      <c r="AE142" s="56">
        <f t="shared" si="24"/>
        <v>0</v>
      </c>
      <c r="AF142" s="56">
        <f t="shared" si="24"/>
        <v>0</v>
      </c>
    </row>
    <row r="143" spans="2:32" x14ac:dyDescent="0.25">
      <c r="E143" s="26"/>
      <c r="F143" s="26"/>
      <c r="G143" s="26"/>
      <c r="H143" s="26"/>
      <c r="J143" s="32"/>
      <c r="K143" s="36" t="s">
        <v>68</v>
      </c>
      <c r="L143" s="58">
        <f>E129</f>
        <v>1.4999999999999999E-2</v>
      </c>
      <c r="M143" s="58">
        <f>F129</f>
        <v>1.4999999999999999E-2</v>
      </c>
      <c r="N143" s="58">
        <f>G129</f>
        <v>1.4999999999999999E-2</v>
      </c>
      <c r="O143" s="58">
        <f>H129</f>
        <v>1.4999999999999999E-2</v>
      </c>
      <c r="R143" s="32"/>
      <c r="S143" s="36" t="s">
        <v>68</v>
      </c>
      <c r="T143" s="58">
        <f>E129</f>
        <v>1.4999999999999999E-2</v>
      </c>
      <c r="U143" s="58">
        <f>F129</f>
        <v>1.4999999999999999E-2</v>
      </c>
      <c r="V143" s="58">
        <f>G129</f>
        <v>1.4999999999999999E-2</v>
      </c>
      <c r="W143" s="58">
        <f>H129</f>
        <v>1.4999999999999999E-2</v>
      </c>
      <c r="AA143" s="32"/>
      <c r="AB143" s="36" t="s">
        <v>68</v>
      </c>
      <c r="AC143" s="58">
        <f>E129</f>
        <v>1.4999999999999999E-2</v>
      </c>
      <c r="AD143" s="58">
        <f>F129</f>
        <v>1.4999999999999999E-2</v>
      </c>
      <c r="AE143" s="58">
        <f>G129</f>
        <v>1.4999999999999999E-2</v>
      </c>
      <c r="AF143" s="58">
        <f>H129</f>
        <v>1.4999999999999999E-2</v>
      </c>
    </row>
    <row r="144" spans="2:32" s="28" customFormat="1" ht="13.5" thickBot="1" x14ac:dyDescent="0.3">
      <c r="B144" s="28" t="s">
        <v>88</v>
      </c>
      <c r="E144" s="53">
        <f>MAX(IF(E140&lt;0,-E140,0), IF(E141&lt;0,-E141,0),IF(E142&lt;0,-E142,0))</f>
        <v>0</v>
      </c>
      <c r="F144" s="116">
        <f>MAX(IF(F140&lt;0,-F140,0), IF(F141&lt;0,-F141,0),IF(F142&lt;0,-F142,0))</f>
        <v>2.4826657557133025</v>
      </c>
      <c r="G144" s="117">
        <f>MAX(IF(G140&lt;0,-G140,0), IF(G141&lt;0,-G141,0),IF(G142&lt;0,-G142,0))</f>
        <v>0</v>
      </c>
      <c r="H144" s="53">
        <f>MAX(IF(H140&lt;0,-H140,0), IF(H141&lt;0,-H141,0),IF(H142&lt;0,-H142,0))</f>
        <v>0</v>
      </c>
      <c r="I144" s="32"/>
      <c r="J144" s="39"/>
      <c r="K144" s="40" t="s">
        <v>192</v>
      </c>
      <c r="L144" s="115">
        <f>E117</f>
        <v>0.22388059701492538</v>
      </c>
      <c r="M144" s="115">
        <f>F117</f>
        <v>0.15371880573784302</v>
      </c>
      <c r="N144" s="115">
        <f>G117</f>
        <v>0.17325471441694931</v>
      </c>
      <c r="O144" s="115">
        <f>H117</f>
        <v>0.2241566618761533</v>
      </c>
      <c r="R144" s="39"/>
      <c r="S144" s="40" t="s">
        <v>197</v>
      </c>
      <c r="T144" s="115">
        <f>E116</f>
        <v>0.16417910447761194</v>
      </c>
      <c r="U144" s="115">
        <f>F116</f>
        <v>9.5561479859896256E-2</v>
      </c>
      <c r="V144" s="115">
        <f>G116</f>
        <v>0.12022747535048364</v>
      </c>
      <c r="W144" s="115">
        <f>H116</f>
        <v>0.17355591642052684</v>
      </c>
      <c r="AA144" s="39"/>
      <c r="AB144" s="40" t="s">
        <v>190</v>
      </c>
      <c r="AC144" s="115">
        <f>E115</f>
        <v>0.16417910447761194</v>
      </c>
      <c r="AD144" s="115">
        <f>F115</f>
        <v>9.5561479859896256E-2</v>
      </c>
      <c r="AE144" s="115">
        <f>G115</f>
        <v>0.12022747535048364</v>
      </c>
      <c r="AF144" s="115">
        <f>H115</f>
        <v>0.17355591642052684</v>
      </c>
    </row>
    <row r="145" spans="2:26" ht="13.5" thickTop="1" x14ac:dyDescent="0.25"/>
    <row r="146" spans="2:26" s="28" customFormat="1" x14ac:dyDescent="0.25">
      <c r="B146" s="21"/>
      <c r="C146" s="21"/>
      <c r="D146" s="21"/>
      <c r="E146" s="21"/>
      <c r="F146" s="21"/>
      <c r="G146" s="21"/>
      <c r="H146" s="21"/>
      <c r="I146" s="32"/>
    </row>
    <row r="147" spans="2:26" x14ac:dyDescent="0.25">
      <c r="I147" s="31"/>
      <c r="L147" s="28"/>
      <c r="M147" s="37"/>
      <c r="N147" s="26"/>
      <c r="O147" s="26"/>
      <c r="P147" s="26"/>
      <c r="Q147" s="26"/>
      <c r="Z147" s="26"/>
    </row>
    <row r="148" spans="2:26" x14ac:dyDescent="0.25">
      <c r="B148" s="22"/>
      <c r="E148" s="26"/>
      <c r="F148" s="26"/>
      <c r="G148" s="26"/>
      <c r="H148" s="26"/>
      <c r="I148" s="31"/>
      <c r="L148" s="28"/>
      <c r="M148" s="37"/>
      <c r="N148" s="26"/>
      <c r="O148" s="26"/>
      <c r="P148" s="26"/>
      <c r="Q148" s="26"/>
      <c r="Z148" s="26"/>
    </row>
    <row r="149" spans="2:26" x14ac:dyDescent="0.25">
      <c r="B149" s="22"/>
      <c r="E149" s="26"/>
      <c r="F149" s="26"/>
      <c r="G149" s="26"/>
      <c r="H149" s="26"/>
      <c r="I149" s="31"/>
      <c r="L149" s="28"/>
      <c r="M149" s="37"/>
      <c r="N149" s="26"/>
      <c r="O149" s="26"/>
      <c r="P149" s="26"/>
      <c r="Q149" s="26"/>
      <c r="Z149" s="26"/>
    </row>
    <row r="150" spans="2:26" s="28" customFormat="1" x14ac:dyDescent="0.25">
      <c r="B150" s="21"/>
      <c r="C150" s="21"/>
      <c r="D150" s="21"/>
      <c r="E150" s="26"/>
      <c r="F150" s="26"/>
      <c r="G150" s="26"/>
      <c r="H150" s="26"/>
      <c r="I150" s="31"/>
      <c r="J150" s="22"/>
      <c r="L150" s="24"/>
      <c r="M150" s="41"/>
      <c r="N150" s="26"/>
      <c r="O150" s="26"/>
      <c r="P150" s="26"/>
      <c r="Q150" s="26"/>
      <c r="Z150" s="26"/>
    </row>
    <row r="151" spans="2:26" x14ac:dyDescent="0.25">
      <c r="E151" s="26"/>
      <c r="F151" s="26"/>
      <c r="G151" s="26"/>
      <c r="H151" s="26"/>
    </row>
    <row r="152" spans="2:26" x14ac:dyDescent="0.25">
      <c r="E152" s="26"/>
      <c r="F152" s="26"/>
      <c r="G152" s="26"/>
      <c r="H152" s="26"/>
    </row>
    <row r="153" spans="2:26" x14ac:dyDescent="0.25">
      <c r="E153" s="26"/>
      <c r="F153" s="26"/>
      <c r="G153" s="26"/>
      <c r="H153" s="26"/>
    </row>
    <row r="154" spans="2:26" x14ac:dyDescent="0.25">
      <c r="E154" s="26"/>
      <c r="F154" s="26"/>
      <c r="G154" s="26"/>
      <c r="H154" s="26"/>
    </row>
    <row r="155" spans="2:26" x14ac:dyDescent="0.25">
      <c r="E155" s="26"/>
      <c r="F155" s="26"/>
      <c r="G155" s="26"/>
      <c r="H155" s="26"/>
    </row>
    <row r="156" spans="2:26" x14ac:dyDescent="0.25">
      <c r="E156" s="26"/>
      <c r="F156" s="26"/>
      <c r="G156" s="26"/>
      <c r="H156" s="26"/>
    </row>
    <row r="157" spans="2:26" x14ac:dyDescent="0.25">
      <c r="B157" s="28"/>
      <c r="C157" s="28"/>
      <c r="D157" s="28"/>
      <c r="E157" s="53"/>
      <c r="F157" s="53"/>
      <c r="G157" s="53"/>
      <c r="H157" s="53"/>
    </row>
    <row r="158" spans="2:26" x14ac:dyDescent="0.25">
      <c r="B158" s="28"/>
      <c r="C158" s="28"/>
      <c r="D158" s="28"/>
      <c r="E158" s="53"/>
      <c r="F158" s="53"/>
      <c r="G158" s="53"/>
      <c r="H158" s="53"/>
    </row>
    <row r="159" spans="2:26" x14ac:dyDescent="0.25">
      <c r="B159" s="28"/>
      <c r="C159" s="28"/>
      <c r="D159" s="28"/>
      <c r="E159" s="53"/>
      <c r="F159" s="53"/>
      <c r="G159" s="53"/>
      <c r="H159" s="53"/>
    </row>
    <row r="160" spans="2:26" x14ac:dyDescent="0.25">
      <c r="B160" s="20"/>
      <c r="C160" s="28"/>
      <c r="D160" s="28"/>
      <c r="E160" s="26"/>
      <c r="F160" s="26"/>
      <c r="G160" s="26"/>
      <c r="H160" s="26"/>
    </row>
    <row r="161" spans="2:9" x14ac:dyDescent="0.25">
      <c r="B161" s="20"/>
      <c r="C161" s="28"/>
      <c r="D161" s="28"/>
      <c r="E161" s="26"/>
      <c r="F161" s="26"/>
      <c r="G161" s="26"/>
      <c r="H161" s="26"/>
    </row>
    <row r="162" spans="2:9" x14ac:dyDescent="0.25">
      <c r="B162" s="20"/>
      <c r="E162" s="26"/>
      <c r="F162" s="26"/>
      <c r="G162" s="26"/>
      <c r="H162" s="26"/>
    </row>
    <row r="163" spans="2:9" s="28" customFormat="1" x14ac:dyDescent="0.25">
      <c r="B163" s="21"/>
      <c r="C163" s="21"/>
      <c r="D163" s="21"/>
      <c r="E163" s="21"/>
      <c r="F163" s="21"/>
      <c r="G163" s="21"/>
      <c r="H163" s="21"/>
      <c r="I163" s="42"/>
    </row>
    <row r="164" spans="2:9" x14ac:dyDescent="0.25">
      <c r="B164" s="28"/>
      <c r="C164" s="28"/>
      <c r="D164" s="28"/>
      <c r="E164" s="28"/>
      <c r="F164" s="123"/>
      <c r="G164" s="28"/>
      <c r="H164" s="28"/>
    </row>
    <row r="165" spans="2:9" s="28" customFormat="1" x14ac:dyDescent="0.25">
      <c r="B165" s="21"/>
      <c r="C165" s="21"/>
      <c r="D165" s="21"/>
      <c r="E165" s="21"/>
      <c r="F165" s="21"/>
      <c r="G165" s="21"/>
      <c r="H165" s="21"/>
      <c r="I165" s="32"/>
    </row>
    <row r="167" spans="2:9" s="28" customFormat="1" x14ac:dyDescent="0.25">
      <c r="B167" s="21"/>
      <c r="C167" s="21"/>
      <c r="D167" s="21"/>
      <c r="E167" s="21"/>
      <c r="F167" s="21"/>
      <c r="G167" s="21"/>
      <c r="H167" s="21"/>
      <c r="I167" s="32"/>
    </row>
    <row r="169" spans="2:9" s="28" customFormat="1" x14ac:dyDescent="0.25">
      <c r="I169" s="32"/>
    </row>
    <row r="171" spans="2:9" s="28" customFormat="1" x14ac:dyDescent="0.25">
      <c r="I171" s="32"/>
    </row>
    <row r="173" spans="2:9" s="28" customFormat="1" x14ac:dyDescent="0.25">
      <c r="C173" s="21"/>
      <c r="D173" s="21"/>
      <c r="E173" s="21"/>
      <c r="F173" s="21"/>
      <c r="G173" s="21"/>
      <c r="H173" s="21"/>
      <c r="I173" s="32"/>
    </row>
  </sheetData>
  <mergeCells count="3">
    <mergeCell ref="B125:D125"/>
    <mergeCell ref="B127:D127"/>
    <mergeCell ref="B126:D126"/>
  </mergeCells>
  <conditionalFormatting sqref="E34:H34">
    <cfRule type="cellIs" dxfId="9" priority="1" operator="equal">
      <formula>FALSE</formula>
    </cfRule>
  </conditionalFormatting>
  <pageMargins left="0.7" right="0.7" top="0.75" bottom="0.75" header="0.3" footer="0.3"/>
  <pageSetup paperSize="9" orientation="portrait" r:id="rId1"/>
  <ignoredErrors>
    <ignoredError sqref="E50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4"/>
  <dimension ref="A1:P30"/>
  <sheetViews>
    <sheetView zoomScale="55" zoomScaleNormal="55" workbookViewId="0">
      <pane ySplit="1" topLeftCell="A2" activePane="bottomLeft" state="frozen"/>
      <selection pane="bottomLeft" activeCell="C12" sqref="C12"/>
    </sheetView>
  </sheetViews>
  <sheetFormatPr defaultColWidth="8.453125" defaultRowHeight="13" x14ac:dyDescent="0.25"/>
  <cols>
    <col min="1" max="1" width="8.453125" style="21"/>
    <col min="2" max="2" width="20.453125" style="21" customWidth="1"/>
    <col min="3" max="3" width="36.36328125" style="21" customWidth="1"/>
    <col min="4" max="4" width="15.6328125" style="21" customWidth="1"/>
    <col min="5" max="5" width="14.81640625" style="21" customWidth="1"/>
    <col min="6" max="6" width="10.6328125" style="21" customWidth="1"/>
    <col min="7" max="7" width="73" style="20" customWidth="1"/>
    <col min="8" max="8" width="23.81640625" style="21" customWidth="1"/>
    <col min="9" max="12" width="8.453125" style="21"/>
    <col min="13" max="13" width="8" style="21" customWidth="1"/>
    <col min="14" max="14" width="9.453125" style="21" customWidth="1"/>
    <col min="15" max="16384" width="8.453125" style="21"/>
  </cols>
  <sheetData>
    <row r="1" spans="1:16" ht="26" x14ac:dyDescent="0.25">
      <c r="B1" s="6" t="s">
        <v>111</v>
      </c>
      <c r="C1" s="7"/>
      <c r="D1" s="65" t="s">
        <v>217</v>
      </c>
      <c r="E1" s="65" t="s">
        <v>218</v>
      </c>
      <c r="F1" s="65" t="s">
        <v>219</v>
      </c>
      <c r="G1" s="25" t="s">
        <v>84</v>
      </c>
    </row>
    <row r="2" spans="1:16" ht="12.5" x14ac:dyDescent="0.25">
      <c r="A2" s="71"/>
      <c r="G2" s="21"/>
    </row>
    <row r="3" spans="1:16" s="22" customFormat="1" x14ac:dyDescent="0.3">
      <c r="B3" s="28" t="s">
        <v>76</v>
      </c>
      <c r="C3" s="21"/>
      <c r="D3" s="17">
        <f>D4+D5</f>
        <v>10.5</v>
      </c>
      <c r="E3" s="17">
        <f t="shared" ref="E3:F3" si="0">E4+E5</f>
        <v>15.5</v>
      </c>
      <c r="F3" s="17">
        <f t="shared" si="0"/>
        <v>15.5</v>
      </c>
      <c r="G3" s="20"/>
    </row>
    <row r="4" spans="1:16" s="22" customFormat="1" ht="26" x14ac:dyDescent="0.25">
      <c r="B4" s="54" t="s">
        <v>211</v>
      </c>
      <c r="C4" s="21"/>
      <c r="D4" s="60">
        <v>7</v>
      </c>
      <c r="E4" s="60">
        <v>12</v>
      </c>
      <c r="F4" s="60">
        <f>MAX(D4:E4)</f>
        <v>12</v>
      </c>
      <c r="G4" s="118" t="s">
        <v>244</v>
      </c>
      <c r="H4" s="119"/>
      <c r="J4" s="89"/>
    </row>
    <row r="5" spans="1:16" s="22" customFormat="1" x14ac:dyDescent="0.25">
      <c r="B5" s="54" t="s">
        <v>77</v>
      </c>
      <c r="C5" s="21"/>
      <c r="D5" s="60">
        <v>3.5</v>
      </c>
      <c r="E5" s="60">
        <v>3.5</v>
      </c>
      <c r="F5" s="60">
        <f>MAX(D5:E5)</f>
        <v>3.5</v>
      </c>
      <c r="G5" s="118" t="s">
        <v>214</v>
      </c>
      <c r="H5" s="119"/>
    </row>
    <row r="6" spans="1:16" x14ac:dyDescent="0.25">
      <c r="B6" s="22"/>
      <c r="F6" s="26"/>
      <c r="G6" s="118"/>
      <c r="H6" s="120"/>
    </row>
    <row r="7" spans="1:16" ht="39" x14ac:dyDescent="0.3">
      <c r="B7" s="28" t="s">
        <v>9</v>
      </c>
      <c r="D7" s="17">
        <v>0.5</v>
      </c>
      <c r="E7" s="17">
        <v>5.5</v>
      </c>
      <c r="F7" s="17">
        <f>MAX(D7:E7)</f>
        <v>5.5</v>
      </c>
      <c r="G7" s="118" t="s">
        <v>213</v>
      </c>
      <c r="H7" s="120"/>
    </row>
    <row r="8" spans="1:16" x14ac:dyDescent="0.25">
      <c r="G8" s="121"/>
      <c r="H8" s="120"/>
      <c r="I8" s="22"/>
    </row>
    <row r="9" spans="1:16" ht="52" x14ac:dyDescent="0.3">
      <c r="B9" s="28" t="s">
        <v>212</v>
      </c>
      <c r="D9" s="17">
        <v>0.2</v>
      </c>
      <c r="E9" s="17">
        <v>3</v>
      </c>
      <c r="F9" s="17">
        <f>MAX(D9:E9)</f>
        <v>3</v>
      </c>
      <c r="G9" s="121" t="s">
        <v>246</v>
      </c>
      <c r="H9" s="120"/>
      <c r="I9" s="22"/>
    </row>
    <row r="10" spans="1:16" x14ac:dyDescent="0.25">
      <c r="F10" s="26"/>
      <c r="G10" s="121"/>
      <c r="H10" s="120"/>
    </row>
    <row r="11" spans="1:16" ht="65" x14ac:dyDescent="0.3">
      <c r="B11" s="28" t="s">
        <v>79</v>
      </c>
      <c r="D11" s="17">
        <v>2</v>
      </c>
      <c r="E11" s="17">
        <v>3</v>
      </c>
      <c r="F11" s="17">
        <f t="shared" ref="F11" si="1">MAX(D11:E11)</f>
        <v>3</v>
      </c>
      <c r="G11" s="121" t="s">
        <v>215</v>
      </c>
      <c r="H11" s="120"/>
      <c r="I11" s="22"/>
    </row>
    <row r="12" spans="1:16" ht="12.5" x14ac:dyDescent="0.25">
      <c r="G12" s="120"/>
      <c r="H12" s="120"/>
    </row>
    <row r="13" spans="1:16" s="28" customFormat="1" x14ac:dyDescent="0.3">
      <c r="B13" s="28" t="s">
        <v>80</v>
      </c>
      <c r="C13" s="21"/>
      <c r="D13" s="17">
        <f>D14+D15+D16</f>
        <v>1</v>
      </c>
      <c r="E13" s="17">
        <f>E14+E15+E16</f>
        <v>1</v>
      </c>
      <c r="F13" s="17">
        <f>F14+F15+F16</f>
        <v>1</v>
      </c>
      <c r="G13" s="120"/>
      <c r="H13" s="120"/>
      <c r="I13" s="21"/>
      <c r="J13" s="21"/>
      <c r="K13" s="21"/>
      <c r="L13" s="21"/>
      <c r="M13" s="21"/>
      <c r="N13" s="21"/>
      <c r="O13" s="21"/>
      <c r="P13" s="21"/>
    </row>
    <row r="14" spans="1:16" x14ac:dyDescent="0.25">
      <c r="B14" s="59" t="s">
        <v>81</v>
      </c>
      <c r="D14" s="26">
        <v>0.5</v>
      </c>
      <c r="E14" s="26">
        <v>0.5</v>
      </c>
      <c r="F14" s="60">
        <f t="shared" ref="F14:F15" si="2">MAX(D14:E14)</f>
        <v>0.5</v>
      </c>
      <c r="G14" s="118" t="s">
        <v>83</v>
      </c>
      <c r="H14" s="120"/>
      <c r="I14" s="22"/>
    </row>
    <row r="15" spans="1:16" x14ac:dyDescent="0.25">
      <c r="B15" s="59" t="s">
        <v>82</v>
      </c>
      <c r="D15" s="26">
        <v>0.5</v>
      </c>
      <c r="E15" s="26">
        <v>0.5</v>
      </c>
      <c r="F15" s="60">
        <f t="shared" si="2"/>
        <v>0.5</v>
      </c>
      <c r="G15" s="118" t="s">
        <v>83</v>
      </c>
      <c r="H15" s="120"/>
      <c r="I15" s="22"/>
    </row>
    <row r="16" spans="1:16" x14ac:dyDescent="0.25">
      <c r="B16" s="59"/>
      <c r="D16" s="26"/>
      <c r="E16" s="26"/>
      <c r="F16" s="60"/>
      <c r="I16" s="22"/>
    </row>
    <row r="17" spans="1:16" x14ac:dyDescent="0.25">
      <c r="F17" s="26"/>
    </row>
    <row r="18" spans="1:16" x14ac:dyDescent="0.25">
      <c r="B18" s="28" t="s">
        <v>99</v>
      </c>
      <c r="D18" s="53">
        <v>0</v>
      </c>
      <c r="E18" s="53">
        <v>0</v>
      </c>
      <c r="F18" s="53">
        <v>0</v>
      </c>
      <c r="G18" s="63" t="s">
        <v>171</v>
      </c>
    </row>
    <row r="19" spans="1:16" x14ac:dyDescent="0.3">
      <c r="B19" s="128" t="s">
        <v>255</v>
      </c>
      <c r="C19" s="128"/>
      <c r="D19" s="53">
        <f>D3+D7+D9+D11+D13</f>
        <v>14.2</v>
      </c>
      <c r="E19" s="53">
        <f>E3+E7+E9+E11+E13</f>
        <v>28</v>
      </c>
      <c r="F19" s="53">
        <f>F3+F7+F9+F11+F13</f>
        <v>28</v>
      </c>
      <c r="G19" s="63"/>
    </row>
    <row r="20" spans="1:16" ht="12.5" x14ac:dyDescent="0.25">
      <c r="F20" s="26"/>
      <c r="G20" s="21"/>
    </row>
    <row r="21" spans="1:16" s="32" customFormat="1" x14ac:dyDescent="0.25">
      <c r="B21" s="127" t="s">
        <v>174</v>
      </c>
      <c r="C21" s="126"/>
      <c r="D21" s="53">
        <f>D19</f>
        <v>14.2</v>
      </c>
      <c r="E21" s="53">
        <f t="shared" ref="E21:F21" si="3">E19</f>
        <v>28</v>
      </c>
      <c r="F21" s="53">
        <f t="shared" si="3"/>
        <v>28</v>
      </c>
      <c r="G21" s="72"/>
      <c r="H21" s="28"/>
      <c r="I21" s="28"/>
      <c r="J21" s="28"/>
      <c r="K21" s="28"/>
      <c r="L21" s="28"/>
      <c r="M21" s="28"/>
      <c r="N21" s="28"/>
      <c r="O21" s="28"/>
      <c r="P21" s="28"/>
    </row>
    <row r="22" spans="1:16" s="20" customFormat="1" x14ac:dyDescent="0.25">
      <c r="B22" s="21"/>
      <c r="C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</row>
    <row r="23" spans="1:16" s="28" customFormat="1" x14ac:dyDescent="0.25">
      <c r="A23" s="71"/>
      <c r="B23" s="28" t="s">
        <v>179</v>
      </c>
      <c r="C23" s="21"/>
      <c r="F23" s="61">
        <f>Normative_Perspective_Baseline!F103</f>
        <v>35.354143195983376</v>
      </c>
      <c r="G23" s="69" t="s">
        <v>216</v>
      </c>
    </row>
    <row r="24" spans="1:16" s="20" customFormat="1" x14ac:dyDescent="0.25">
      <c r="B24" s="23" t="s">
        <v>199</v>
      </c>
      <c r="C24" s="21"/>
      <c r="G24" s="21"/>
      <c r="H24" s="21"/>
      <c r="I24" s="21"/>
      <c r="J24" s="21"/>
      <c r="K24" s="21"/>
      <c r="L24" s="21"/>
      <c r="M24" s="21"/>
      <c r="N24" s="21"/>
      <c r="O24" s="21"/>
      <c r="P24" s="21"/>
    </row>
    <row r="25" spans="1:16" s="20" customFormat="1" x14ac:dyDescent="0.25">
      <c r="B25" s="23"/>
      <c r="C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1:16" s="20" customFormat="1" x14ac:dyDescent="0.25">
      <c r="B26" s="23" t="s">
        <v>204</v>
      </c>
      <c r="C26" s="21"/>
      <c r="F26" s="93">
        <f>F23-F21</f>
        <v>7.3541431959833758</v>
      </c>
      <c r="G26" s="21" t="s">
        <v>200</v>
      </c>
      <c r="H26" s="21"/>
      <c r="I26" s="21"/>
      <c r="J26" s="21"/>
      <c r="K26" s="21"/>
      <c r="L26" s="21"/>
      <c r="M26" s="21"/>
      <c r="N26" s="21"/>
      <c r="O26" s="21"/>
      <c r="P26" s="21"/>
    </row>
    <row r="27" spans="1:16" s="20" customFormat="1" x14ac:dyDescent="0.25">
      <c r="B27" s="23" t="s">
        <v>175</v>
      </c>
      <c r="C27" s="21"/>
      <c r="F27" s="58">
        <f>F23/F21</f>
        <v>1.2626479712851206</v>
      </c>
      <c r="G27" s="21" t="s">
        <v>201</v>
      </c>
      <c r="H27" s="21"/>
      <c r="I27" s="21"/>
      <c r="J27" s="21"/>
      <c r="K27" s="21"/>
      <c r="L27" s="21"/>
      <c r="M27" s="21"/>
      <c r="N27" s="21"/>
      <c r="O27" s="21"/>
      <c r="P27" s="21"/>
    </row>
    <row r="28" spans="1:16" ht="12.5" x14ac:dyDescent="0.25">
      <c r="G28" s="21"/>
    </row>
    <row r="29" spans="1:16" x14ac:dyDescent="0.25">
      <c r="B29" s="24" t="s">
        <v>176</v>
      </c>
      <c r="C29" s="24"/>
      <c r="D29" s="24"/>
      <c r="E29" s="24"/>
      <c r="F29" s="55">
        <f>IF(F26&lt;0,-F26,0)</f>
        <v>0</v>
      </c>
      <c r="G29" s="21" t="s">
        <v>164</v>
      </c>
    </row>
    <row r="30" spans="1:16" s="20" customFormat="1" x14ac:dyDescent="0.25">
      <c r="B30" s="21"/>
      <c r="C30" s="21"/>
      <c r="D30" s="21"/>
      <c r="E30" s="21"/>
      <c r="F30" s="21"/>
      <c r="G30" s="21"/>
      <c r="H30" s="21"/>
    </row>
  </sheetData>
  <mergeCells count="2">
    <mergeCell ref="B21:C21"/>
    <mergeCell ref="B19:C1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5"/>
  <dimension ref="B1:I129"/>
  <sheetViews>
    <sheetView zoomScale="70" zoomScaleNormal="70" workbookViewId="0">
      <selection activeCell="G97" sqref="G97"/>
    </sheetView>
  </sheetViews>
  <sheetFormatPr defaultColWidth="10.81640625" defaultRowHeight="12.5" x14ac:dyDescent="0.25"/>
  <cols>
    <col min="1" max="1" width="10.81640625" style="82"/>
    <col min="2" max="2" width="34" style="82" customWidth="1"/>
    <col min="3" max="4" width="10.81640625" style="82"/>
    <col min="5" max="5" width="13.08984375" style="82" customWidth="1"/>
    <col min="6" max="6" width="16" style="82" customWidth="1"/>
    <col min="7" max="7" width="13.26953125" style="82" customWidth="1"/>
    <col min="8" max="8" width="12.453125" style="82" bestFit="1" customWidth="1"/>
    <col min="9" max="9" width="11.81640625" style="82" bestFit="1" customWidth="1"/>
    <col min="10" max="16384" width="10.81640625" style="82"/>
  </cols>
  <sheetData>
    <row r="1" spans="2:8" s="79" customFormat="1" ht="22" customHeight="1" x14ac:dyDescent="0.25">
      <c r="B1" s="78" t="s">
        <v>113</v>
      </c>
      <c r="G1" s="79" t="s">
        <v>19</v>
      </c>
    </row>
    <row r="3" spans="2:8" s="22" customFormat="1" ht="13" x14ac:dyDescent="0.25">
      <c r="B3" s="28" t="s">
        <v>114</v>
      </c>
      <c r="E3" s="28" t="s">
        <v>115</v>
      </c>
      <c r="F3" s="28" t="s">
        <v>85</v>
      </c>
      <c r="G3" s="89"/>
    </row>
    <row r="4" spans="2:8" s="22" customFormat="1" x14ac:dyDescent="0.25"/>
    <row r="5" spans="2:8" s="22" customFormat="1" ht="13" x14ac:dyDescent="0.3">
      <c r="B5" s="22" t="s">
        <v>76</v>
      </c>
      <c r="E5" s="17">
        <f>Economic_Perspective!D3</f>
        <v>10.5</v>
      </c>
      <c r="F5" s="17">
        <f>Economic_Perspective!E3</f>
        <v>15.5</v>
      </c>
    </row>
    <row r="6" spans="2:8" s="22" customFormat="1" ht="13" x14ac:dyDescent="0.3">
      <c r="B6" s="22" t="s">
        <v>9</v>
      </c>
      <c r="E6" s="17">
        <f>Economic_Perspective!D7</f>
        <v>0.5</v>
      </c>
      <c r="F6" s="17">
        <f>Economic_Perspective!E7</f>
        <v>5.5</v>
      </c>
    </row>
    <row r="7" spans="2:8" s="22" customFormat="1" ht="13" x14ac:dyDescent="0.3">
      <c r="B7" s="22" t="s">
        <v>78</v>
      </c>
      <c r="E7" s="17">
        <f>Economic_Perspective!D9</f>
        <v>0.2</v>
      </c>
      <c r="F7" s="17">
        <f>Economic_Perspective!E9</f>
        <v>3</v>
      </c>
    </row>
    <row r="8" spans="2:8" s="22" customFormat="1" ht="13" x14ac:dyDescent="0.3">
      <c r="B8" s="22" t="s">
        <v>79</v>
      </c>
      <c r="E8" s="17">
        <f>Economic_Perspective!D11</f>
        <v>2</v>
      </c>
      <c r="F8" s="17">
        <f>Economic_Perspective!E11</f>
        <v>3</v>
      </c>
    </row>
    <row r="9" spans="2:8" s="22" customFormat="1" ht="13" x14ac:dyDescent="0.3">
      <c r="B9" s="22" t="s">
        <v>80</v>
      </c>
      <c r="E9" s="17">
        <f>Economic_Perspective!D13</f>
        <v>1</v>
      </c>
      <c r="F9" s="17">
        <f>Economic_Perspective!E13</f>
        <v>1</v>
      </c>
    </row>
    <row r="10" spans="2:8" s="22" customFormat="1" ht="13" x14ac:dyDescent="0.3">
      <c r="B10" s="22" t="s">
        <v>156</v>
      </c>
      <c r="E10" s="90">
        <v>0.155</v>
      </c>
      <c r="F10" s="90">
        <v>0.155</v>
      </c>
      <c r="G10" s="89"/>
    </row>
    <row r="11" spans="2:8" s="22" customFormat="1" x14ac:dyDescent="0.25"/>
    <row r="13" spans="2:8" ht="13" x14ac:dyDescent="0.25">
      <c r="B13" s="80" t="s">
        <v>116</v>
      </c>
      <c r="C13" s="81"/>
      <c r="D13" s="81"/>
      <c r="E13" s="80" t="s">
        <v>115</v>
      </c>
      <c r="F13" s="80" t="s">
        <v>85</v>
      </c>
      <c r="G13" s="28" t="s">
        <v>134</v>
      </c>
      <c r="H13" s="22"/>
    </row>
    <row r="14" spans="2:8" x14ac:dyDescent="0.25">
      <c r="B14" s="22" t="s">
        <v>117</v>
      </c>
      <c r="C14" s="22"/>
      <c r="D14" s="22"/>
      <c r="E14" s="83">
        <f>(Normative_Perspective_Baseline!E44+Normative_Perspective_Baseline!F44)/2</f>
        <v>109.3125</v>
      </c>
      <c r="F14" s="83">
        <f>E14</f>
        <v>109.3125</v>
      </c>
      <c r="G14" s="22"/>
      <c r="H14" s="22"/>
    </row>
    <row r="15" spans="2:8" x14ac:dyDescent="0.25">
      <c r="B15" s="22" t="s">
        <v>118</v>
      </c>
      <c r="C15" s="22"/>
      <c r="D15" s="22"/>
      <c r="E15" s="84">
        <v>0.17</v>
      </c>
      <c r="F15" s="84">
        <f>E15</f>
        <v>0.17</v>
      </c>
      <c r="G15" s="22"/>
      <c r="H15" s="22"/>
    </row>
    <row r="16" spans="2:8" x14ac:dyDescent="0.25">
      <c r="B16" s="22" t="s">
        <v>119</v>
      </c>
      <c r="C16" s="22"/>
      <c r="D16" s="22"/>
      <c r="E16" s="134">
        <f>E14*E15</f>
        <v>18.583125000000003</v>
      </c>
      <c r="F16" s="134">
        <f>F14*F15</f>
        <v>18.583125000000003</v>
      </c>
      <c r="G16" s="22"/>
      <c r="H16" s="22"/>
    </row>
    <row r="17" spans="2:8" x14ac:dyDescent="0.25">
      <c r="B17" s="22" t="s">
        <v>135</v>
      </c>
      <c r="C17" s="22"/>
      <c r="D17" s="22"/>
      <c r="E17" s="22">
        <v>3</v>
      </c>
      <c r="F17" s="22">
        <v>3</v>
      </c>
      <c r="G17" s="22"/>
      <c r="H17" s="22"/>
    </row>
    <row r="18" spans="2:8" x14ac:dyDescent="0.25">
      <c r="B18" s="22" t="s">
        <v>136</v>
      </c>
      <c r="C18" s="22"/>
      <c r="D18" s="22"/>
      <c r="E18" s="60">
        <f>-E14*0.07</f>
        <v>-7.6518750000000004</v>
      </c>
      <c r="F18" s="134">
        <f>E18</f>
        <v>-7.6518750000000004</v>
      </c>
      <c r="G18" s="22" t="s">
        <v>120</v>
      </c>
      <c r="H18" s="22"/>
    </row>
    <row r="19" spans="2:8" x14ac:dyDescent="0.25">
      <c r="B19" s="22" t="s">
        <v>137</v>
      </c>
      <c r="C19" s="22"/>
      <c r="D19" s="22"/>
      <c r="E19" s="22">
        <v>-0.6</v>
      </c>
      <c r="F19" s="22">
        <v>-0.6</v>
      </c>
      <c r="G19" s="22"/>
      <c r="H19" s="22"/>
    </row>
    <row r="20" spans="2:8" x14ac:dyDescent="0.25">
      <c r="B20" s="22" t="s">
        <v>166</v>
      </c>
      <c r="C20" s="22"/>
      <c r="D20" s="22"/>
      <c r="E20" s="134">
        <v>-2.4</v>
      </c>
      <c r="F20" s="134">
        <v>-2.4</v>
      </c>
      <c r="G20" s="22"/>
      <c r="H20" s="22"/>
    </row>
    <row r="21" spans="2:8" x14ac:dyDescent="0.25">
      <c r="B21" s="22"/>
      <c r="C21" s="22"/>
      <c r="D21" s="22"/>
      <c r="E21" s="60"/>
      <c r="F21" s="22"/>
      <c r="G21" s="22"/>
      <c r="H21" s="22"/>
    </row>
    <row r="22" spans="2:8" ht="13" x14ac:dyDescent="0.25">
      <c r="B22" s="28" t="s">
        <v>178</v>
      </c>
      <c r="C22" s="28"/>
      <c r="D22" s="28"/>
      <c r="E22" s="53">
        <f>SUM(E16:E20)*(1-0.25)</f>
        <v>8.1984375000000007</v>
      </c>
      <c r="F22" s="53">
        <f>SUM(F16:F20)*(1-0.25)</f>
        <v>8.1984375000000007</v>
      </c>
      <c r="G22" s="28"/>
      <c r="H22" s="28"/>
    </row>
    <row r="23" spans="2:8" x14ac:dyDescent="0.25">
      <c r="B23" s="22"/>
      <c r="C23" s="22"/>
      <c r="D23" s="22"/>
      <c r="E23" s="22"/>
      <c r="F23" s="22"/>
      <c r="G23" s="22"/>
      <c r="H23" s="22"/>
    </row>
    <row r="24" spans="2:8" x14ac:dyDescent="0.25">
      <c r="B24" s="82" t="s">
        <v>143</v>
      </c>
      <c r="E24" s="82">
        <v>6.3</v>
      </c>
      <c r="F24" s="82">
        <v>9.3000000000000007</v>
      </c>
      <c r="H24" s="22"/>
    </row>
    <row r="25" spans="2:8" x14ac:dyDescent="0.25">
      <c r="B25" s="82" t="s">
        <v>144</v>
      </c>
      <c r="E25" s="82">
        <v>0.3</v>
      </c>
      <c r="F25" s="82">
        <v>3.2</v>
      </c>
      <c r="H25" s="22"/>
    </row>
    <row r="26" spans="2:8" x14ac:dyDescent="0.25">
      <c r="B26" s="82" t="s">
        <v>145</v>
      </c>
      <c r="E26" s="82">
        <v>0</v>
      </c>
      <c r="F26" s="82">
        <v>0</v>
      </c>
      <c r="H26" s="22"/>
    </row>
    <row r="27" spans="2:8" x14ac:dyDescent="0.25">
      <c r="B27" s="22" t="s">
        <v>146</v>
      </c>
      <c r="E27" s="82">
        <v>1.4</v>
      </c>
      <c r="F27" s="82">
        <v>2.1</v>
      </c>
      <c r="H27" s="22"/>
    </row>
    <row r="28" spans="2:8" x14ac:dyDescent="0.25">
      <c r="B28" s="82" t="s">
        <v>147</v>
      </c>
      <c r="E28" s="82">
        <v>0.5</v>
      </c>
      <c r="F28" s="82">
        <v>0.5</v>
      </c>
      <c r="H28" s="22"/>
    </row>
    <row r="29" spans="2:8" ht="13" x14ac:dyDescent="0.25">
      <c r="B29" s="20" t="s">
        <v>167</v>
      </c>
      <c r="C29" s="22"/>
      <c r="D29" s="22"/>
      <c r="E29" s="22"/>
      <c r="F29" s="22"/>
      <c r="G29" s="22"/>
      <c r="H29" s="22"/>
    </row>
    <row r="30" spans="2:8" x14ac:dyDescent="0.25">
      <c r="B30" s="22" t="s">
        <v>138</v>
      </c>
      <c r="C30" s="22"/>
      <c r="D30" s="22"/>
      <c r="E30" s="84">
        <f>E24/E5</f>
        <v>0.6</v>
      </c>
      <c r="F30" s="84">
        <f>F24/F5</f>
        <v>0.60000000000000009</v>
      </c>
      <c r="G30" s="22" t="s">
        <v>121</v>
      </c>
      <c r="H30" s="22"/>
    </row>
    <row r="31" spans="2:8" x14ac:dyDescent="0.25">
      <c r="B31" s="22" t="s">
        <v>139</v>
      </c>
      <c r="C31" s="22"/>
      <c r="D31" s="22"/>
      <c r="E31" s="84">
        <f t="shared" ref="E31:F34" si="0">E25/E6</f>
        <v>0.6</v>
      </c>
      <c r="F31" s="84">
        <f>F25/F6</f>
        <v>0.5818181818181819</v>
      </c>
      <c r="G31" s="22" t="s">
        <v>122</v>
      </c>
      <c r="H31" s="22"/>
    </row>
    <row r="32" spans="2:8" x14ac:dyDescent="0.25">
      <c r="B32" s="22" t="s">
        <v>140</v>
      </c>
      <c r="C32" s="22"/>
      <c r="D32" s="22"/>
      <c r="E32" s="84">
        <f t="shared" si="0"/>
        <v>0</v>
      </c>
      <c r="F32" s="84">
        <f t="shared" si="0"/>
        <v>0</v>
      </c>
      <c r="H32" s="22"/>
    </row>
    <row r="33" spans="2:8" x14ac:dyDescent="0.25">
      <c r="B33" s="22" t="s">
        <v>141</v>
      </c>
      <c r="C33" s="22"/>
      <c r="D33" s="22"/>
      <c r="E33" s="84">
        <f t="shared" si="0"/>
        <v>0.7</v>
      </c>
      <c r="F33" s="84">
        <f t="shared" si="0"/>
        <v>0.70000000000000007</v>
      </c>
      <c r="G33" s="22" t="s">
        <v>123</v>
      </c>
      <c r="H33" s="22"/>
    </row>
    <row r="34" spans="2:8" x14ac:dyDescent="0.25">
      <c r="B34" s="22" t="s">
        <v>142</v>
      </c>
      <c r="C34" s="22"/>
      <c r="D34" s="22"/>
      <c r="E34" s="84">
        <f t="shared" si="0"/>
        <v>0.5</v>
      </c>
      <c r="F34" s="84">
        <f t="shared" si="0"/>
        <v>0.5</v>
      </c>
      <c r="G34" s="22" t="s">
        <v>124</v>
      </c>
      <c r="H34" s="22"/>
    </row>
    <row r="35" spans="2:8" x14ac:dyDescent="0.25">
      <c r="B35" s="22"/>
      <c r="C35" s="22"/>
      <c r="D35" s="22"/>
      <c r="E35" s="22"/>
      <c r="F35" s="22"/>
      <c r="G35" s="22"/>
      <c r="H35" s="22"/>
    </row>
    <row r="36" spans="2:8" ht="13" x14ac:dyDescent="0.25">
      <c r="B36" s="28" t="s">
        <v>148</v>
      </c>
      <c r="C36" s="28"/>
      <c r="D36" s="28"/>
      <c r="E36" s="53">
        <f>SUM(E24:E28)</f>
        <v>8.5</v>
      </c>
      <c r="F36" s="53">
        <f>SUM(F24:F28)</f>
        <v>15.1</v>
      </c>
      <c r="G36" s="28"/>
      <c r="H36" s="28"/>
    </row>
    <row r="37" spans="2:8" ht="13" x14ac:dyDescent="0.25">
      <c r="B37" s="28" t="s">
        <v>149</v>
      </c>
      <c r="C37" s="28"/>
      <c r="D37" s="28"/>
      <c r="E37" s="85">
        <f>E22/E36</f>
        <v>0.96452205882352948</v>
      </c>
      <c r="F37" s="85">
        <f>F22/F36</f>
        <v>0.5429428807947021</v>
      </c>
      <c r="G37" s="22" t="s">
        <v>158</v>
      </c>
      <c r="H37" s="28"/>
    </row>
    <row r="38" spans="2:8" ht="13" x14ac:dyDescent="0.25">
      <c r="H38" s="28"/>
    </row>
    <row r="39" spans="2:8" x14ac:dyDescent="0.25">
      <c r="B39" s="22" t="s">
        <v>168</v>
      </c>
      <c r="C39" s="22"/>
      <c r="D39" s="22"/>
      <c r="E39" s="70">
        <f>E36/Economic_Perspective!F23</f>
        <v>0.24042443774922806</v>
      </c>
      <c r="F39" s="70">
        <f>F36/Economic_Perspective!F23</f>
        <v>0.42710694235451102</v>
      </c>
      <c r="G39" s="22" t="s">
        <v>160</v>
      </c>
      <c r="H39" s="22"/>
    </row>
    <row r="40" spans="2:8" ht="13" x14ac:dyDescent="0.25">
      <c r="B40" s="22" t="s">
        <v>126</v>
      </c>
      <c r="C40" s="22"/>
      <c r="D40" s="22"/>
      <c r="E40" s="70">
        <v>0.4</v>
      </c>
      <c r="F40" s="70">
        <v>0.4</v>
      </c>
      <c r="H40" s="28"/>
    </row>
    <row r="41" spans="2:8" x14ac:dyDescent="0.25">
      <c r="B41" s="22"/>
      <c r="C41" s="22"/>
      <c r="D41" s="22"/>
      <c r="E41" s="22"/>
      <c r="F41" s="22"/>
      <c r="G41" s="22"/>
      <c r="H41" s="22"/>
    </row>
    <row r="42" spans="2:8" ht="13" x14ac:dyDescent="0.25">
      <c r="B42" s="80" t="s">
        <v>127</v>
      </c>
      <c r="C42" s="81"/>
      <c r="D42" s="81"/>
      <c r="E42" s="80" t="s">
        <v>115</v>
      </c>
      <c r="F42" s="80" t="s">
        <v>85</v>
      </c>
      <c r="G42" s="22"/>
    </row>
    <row r="43" spans="2:8" x14ac:dyDescent="0.25">
      <c r="B43" s="22" t="s">
        <v>117</v>
      </c>
      <c r="E43" s="86">
        <f>(Normative_Perspective_Baseline!F45+Normative_Perspective_Baseline!E45)/2</f>
        <v>61.831578947368421</v>
      </c>
      <c r="F43" s="86">
        <f>E43</f>
        <v>61.831578947368421</v>
      </c>
      <c r="G43" s="22"/>
    </row>
    <row r="44" spans="2:8" x14ac:dyDescent="0.25">
      <c r="B44" s="22" t="s">
        <v>118</v>
      </c>
      <c r="E44" s="87">
        <f>Normative_Perspective_Baseline!E12</f>
        <v>0.03</v>
      </c>
      <c r="F44" s="87">
        <f>Normative_Perspective_Baseline!E12</f>
        <v>0.03</v>
      </c>
      <c r="G44" s="22"/>
    </row>
    <row r="45" spans="2:8" x14ac:dyDescent="0.25">
      <c r="B45" s="22" t="s">
        <v>119</v>
      </c>
      <c r="E45" s="82">
        <f>E43*E44</f>
        <v>1.8549473684210525</v>
      </c>
      <c r="F45" s="82">
        <f>F43*F44</f>
        <v>1.8549473684210525</v>
      </c>
      <c r="G45" s="22"/>
    </row>
    <row r="46" spans="2:8" x14ac:dyDescent="0.25">
      <c r="B46" s="22" t="s">
        <v>135</v>
      </c>
      <c r="E46" s="82">
        <v>5.23</v>
      </c>
      <c r="F46" s="82">
        <f>E46</f>
        <v>5.23</v>
      </c>
      <c r="G46" s="22"/>
    </row>
    <row r="47" spans="2:8" x14ac:dyDescent="0.25">
      <c r="B47" s="22" t="s">
        <v>136</v>
      </c>
      <c r="E47" s="124">
        <f>-E43*0.003</f>
        <v>-0.18549473684210527</v>
      </c>
      <c r="F47" s="124">
        <f>E47</f>
        <v>-0.18549473684210527</v>
      </c>
      <c r="G47" s="22"/>
    </row>
    <row r="48" spans="2:8" x14ac:dyDescent="0.25">
      <c r="B48" s="22" t="s">
        <v>137</v>
      </c>
      <c r="E48" s="82">
        <v>-0.3</v>
      </c>
      <c r="F48" s="82">
        <v>-0.3</v>
      </c>
      <c r="G48" s="22"/>
    </row>
    <row r="49" spans="2:7" x14ac:dyDescent="0.25">
      <c r="B49" s="22" t="s">
        <v>166</v>
      </c>
      <c r="E49" s="82">
        <v>-1</v>
      </c>
      <c r="F49" s="82">
        <v>-1</v>
      </c>
      <c r="G49" s="22"/>
    </row>
    <row r="50" spans="2:7" x14ac:dyDescent="0.25">
      <c r="B50" s="22"/>
      <c r="G50" s="22"/>
    </row>
    <row r="51" spans="2:7" ht="13" x14ac:dyDescent="0.25">
      <c r="B51" s="28" t="s">
        <v>178</v>
      </c>
      <c r="E51" s="28">
        <f>SUM(E45:E49)*(1-0.25)</f>
        <v>4.1995894736842114</v>
      </c>
      <c r="F51" s="28">
        <f>SUM(F45:F49)*(1-0.25)</f>
        <v>4.1995894736842114</v>
      </c>
      <c r="G51" s="22"/>
    </row>
    <row r="52" spans="2:7" x14ac:dyDescent="0.25">
      <c r="B52" s="22"/>
      <c r="G52" s="22"/>
    </row>
    <row r="53" spans="2:7" x14ac:dyDescent="0.25">
      <c r="B53" s="82" t="s">
        <v>143</v>
      </c>
      <c r="E53" s="22">
        <v>4.2</v>
      </c>
      <c r="F53" s="22">
        <v>6.2</v>
      </c>
      <c r="G53" s="22"/>
    </row>
    <row r="54" spans="2:7" x14ac:dyDescent="0.25">
      <c r="B54" s="82" t="s">
        <v>144</v>
      </c>
      <c r="E54" s="22">
        <v>0.15</v>
      </c>
      <c r="F54" s="22">
        <v>1.7</v>
      </c>
      <c r="G54" s="22"/>
    </row>
    <row r="55" spans="2:7" x14ac:dyDescent="0.25">
      <c r="B55" s="82" t="s">
        <v>145</v>
      </c>
      <c r="E55" s="22">
        <v>0.19</v>
      </c>
      <c r="F55" s="22">
        <v>2.85</v>
      </c>
      <c r="G55" s="22" t="s">
        <v>245</v>
      </c>
    </row>
    <row r="56" spans="2:7" x14ac:dyDescent="0.25">
      <c r="B56" s="22" t="s">
        <v>146</v>
      </c>
      <c r="E56" s="22">
        <v>0.5</v>
      </c>
      <c r="F56" s="22">
        <v>0.75</v>
      </c>
      <c r="G56" s="22"/>
    </row>
    <row r="57" spans="2:7" x14ac:dyDescent="0.25">
      <c r="B57" s="82" t="s">
        <v>147</v>
      </c>
      <c r="E57" s="22">
        <v>0.4</v>
      </c>
      <c r="F57" s="22">
        <v>0.4</v>
      </c>
      <c r="G57" s="22"/>
    </row>
    <row r="58" spans="2:7" ht="13" x14ac:dyDescent="0.25">
      <c r="B58" s="20" t="s">
        <v>167</v>
      </c>
      <c r="G58" s="22"/>
    </row>
    <row r="59" spans="2:7" x14ac:dyDescent="0.25">
      <c r="B59" s="22" t="s">
        <v>138</v>
      </c>
      <c r="E59" s="87">
        <f>E53/E5</f>
        <v>0.4</v>
      </c>
      <c r="F59" s="87">
        <f>F53/F5</f>
        <v>0.4</v>
      </c>
    </row>
    <row r="60" spans="2:7" x14ac:dyDescent="0.25">
      <c r="B60" s="22" t="s">
        <v>139</v>
      </c>
      <c r="E60" s="87">
        <f>E54/E6</f>
        <v>0.3</v>
      </c>
      <c r="F60" s="87">
        <f t="shared" ref="E60:F63" si="1">F54/F6</f>
        <v>0.30909090909090908</v>
      </c>
    </row>
    <row r="61" spans="2:7" x14ac:dyDescent="0.25">
      <c r="B61" s="22" t="s">
        <v>140</v>
      </c>
      <c r="E61" s="87">
        <f t="shared" si="1"/>
        <v>0.95</v>
      </c>
      <c r="F61" s="87">
        <f t="shared" si="1"/>
        <v>0.95000000000000007</v>
      </c>
    </row>
    <row r="62" spans="2:7" x14ac:dyDescent="0.25">
      <c r="B62" s="22" t="s">
        <v>141</v>
      </c>
      <c r="E62" s="87">
        <f t="shared" si="1"/>
        <v>0.25</v>
      </c>
      <c r="F62" s="87">
        <f t="shared" si="1"/>
        <v>0.25</v>
      </c>
    </row>
    <row r="63" spans="2:7" x14ac:dyDescent="0.25">
      <c r="B63" s="22" t="s">
        <v>142</v>
      </c>
      <c r="E63" s="87">
        <f t="shared" si="1"/>
        <v>0.4</v>
      </c>
      <c r="F63" s="87">
        <f t="shared" si="1"/>
        <v>0.4</v>
      </c>
    </row>
    <row r="64" spans="2:7" x14ac:dyDescent="0.25">
      <c r="B64" s="22"/>
      <c r="E64" s="22"/>
      <c r="G64" s="22"/>
    </row>
    <row r="65" spans="2:8" ht="13" x14ac:dyDescent="0.25">
      <c r="B65" s="28" t="s">
        <v>148</v>
      </c>
      <c r="E65" s="53">
        <f>SUM(E53:E57)</f>
        <v>5.4400000000000013</v>
      </c>
      <c r="F65" s="53">
        <f>SUM(F53:F57)</f>
        <v>11.9</v>
      </c>
      <c r="G65" s="22"/>
    </row>
    <row r="66" spans="2:8" ht="13" x14ac:dyDescent="0.25">
      <c r="B66" s="28" t="s">
        <v>149</v>
      </c>
      <c r="C66" s="22"/>
      <c r="D66" s="22"/>
      <c r="E66" s="85">
        <f>E51/E65</f>
        <v>0.77198335913312688</v>
      </c>
      <c r="F66" s="85">
        <f>F51/F65</f>
        <v>0.3529066784608581</v>
      </c>
      <c r="G66" s="22" t="s">
        <v>238</v>
      </c>
    </row>
    <row r="68" spans="2:8" x14ac:dyDescent="0.25">
      <c r="B68" s="22" t="s">
        <v>125</v>
      </c>
      <c r="E68" s="70">
        <f>E65/Economic_Perspective!F23</f>
        <v>0.153871640159506</v>
      </c>
      <c r="F68" s="70">
        <f>F65/Economic_Perspective!F23</f>
        <v>0.33659421284891927</v>
      </c>
      <c r="G68" s="22"/>
    </row>
    <row r="69" spans="2:8" x14ac:dyDescent="0.25">
      <c r="B69" s="22" t="s">
        <v>126</v>
      </c>
      <c r="E69" s="70">
        <v>0.35</v>
      </c>
      <c r="F69" s="70">
        <v>0.35</v>
      </c>
      <c r="G69" s="22"/>
      <c r="H69" s="22"/>
    </row>
    <row r="70" spans="2:8" ht="13" x14ac:dyDescent="0.25">
      <c r="B70" s="28"/>
      <c r="C70" s="22"/>
      <c r="D70" s="22"/>
      <c r="E70" s="22"/>
      <c r="F70" s="22"/>
      <c r="G70" s="22"/>
      <c r="H70" s="22"/>
    </row>
    <row r="71" spans="2:8" ht="13" x14ac:dyDescent="0.25">
      <c r="B71" s="80" t="s">
        <v>128</v>
      </c>
      <c r="C71" s="81"/>
      <c r="D71" s="81"/>
      <c r="E71" s="80" t="s">
        <v>115</v>
      </c>
      <c r="F71" s="80" t="s">
        <v>85</v>
      </c>
      <c r="G71" s="22"/>
      <c r="H71" s="22"/>
    </row>
    <row r="72" spans="2:8" x14ac:dyDescent="0.25">
      <c r="B72" s="22" t="s">
        <v>234</v>
      </c>
      <c r="C72" s="22"/>
      <c r="D72" s="22"/>
      <c r="E72" s="83">
        <f>Normative_Perspective_Baseline!E40</f>
        <v>5</v>
      </c>
      <c r="F72" s="83">
        <f>E72</f>
        <v>5</v>
      </c>
      <c r="G72" s="22"/>
      <c r="H72" s="22"/>
    </row>
    <row r="73" spans="2:8" x14ac:dyDescent="0.25">
      <c r="B73" s="21" t="s">
        <v>96</v>
      </c>
      <c r="C73" s="22"/>
      <c r="D73" s="22"/>
      <c r="E73" s="83">
        <v>2</v>
      </c>
      <c r="F73" s="83">
        <v>2</v>
      </c>
      <c r="G73" s="22" t="s">
        <v>236</v>
      </c>
      <c r="H73" s="22"/>
    </row>
    <row r="74" spans="2:8" x14ac:dyDescent="0.25">
      <c r="B74" s="22" t="s">
        <v>118</v>
      </c>
      <c r="C74" s="22"/>
      <c r="D74" s="22"/>
      <c r="E74" s="84">
        <f>Normative_Perspective_Baseline!F18</f>
        <v>0.08</v>
      </c>
      <c r="F74" s="84">
        <v>0.08</v>
      </c>
      <c r="G74" s="22"/>
      <c r="H74" s="22"/>
    </row>
    <row r="75" spans="2:8" x14ac:dyDescent="0.25">
      <c r="B75" s="22" t="s">
        <v>119</v>
      </c>
      <c r="C75" s="22"/>
      <c r="D75" s="22"/>
      <c r="E75" s="22">
        <f>E72*E74</f>
        <v>0.4</v>
      </c>
      <c r="F75" s="22">
        <f>F72*F74</f>
        <v>0.4</v>
      </c>
      <c r="G75" s="22"/>
      <c r="H75" s="22"/>
    </row>
    <row r="76" spans="2:8" x14ac:dyDescent="0.25">
      <c r="B76" s="22" t="s">
        <v>235</v>
      </c>
      <c r="C76" s="22"/>
      <c r="D76" s="22"/>
      <c r="E76" s="60">
        <f>Normative_Perspective_Baseline!F84</f>
        <v>0.16</v>
      </c>
      <c r="F76" s="60">
        <f>E76</f>
        <v>0.16</v>
      </c>
      <c r="G76" s="22"/>
      <c r="H76" s="22"/>
    </row>
    <row r="77" spans="2:8" x14ac:dyDescent="0.25">
      <c r="B77" s="22" t="s">
        <v>135</v>
      </c>
      <c r="C77" s="22"/>
      <c r="D77" s="22"/>
      <c r="E77" s="22">
        <v>0</v>
      </c>
      <c r="F77" s="22">
        <v>0</v>
      </c>
      <c r="G77" s="22"/>
      <c r="H77" s="22"/>
    </row>
    <row r="78" spans="2:8" x14ac:dyDescent="0.25">
      <c r="B78" s="22" t="s">
        <v>136</v>
      </c>
      <c r="C78" s="22"/>
      <c r="D78" s="22"/>
      <c r="E78" s="22">
        <f>(-E72-E73)*0.02</f>
        <v>-0.14000000000000001</v>
      </c>
      <c r="F78" s="22">
        <f>E78</f>
        <v>-0.14000000000000001</v>
      </c>
      <c r="G78" s="22"/>
      <c r="H78" s="22"/>
    </row>
    <row r="79" spans="2:8" x14ac:dyDescent="0.25">
      <c r="B79" s="22" t="s">
        <v>137</v>
      </c>
      <c r="C79" s="22"/>
      <c r="D79" s="22"/>
      <c r="E79" s="22">
        <v>-0.13</v>
      </c>
      <c r="F79" s="22">
        <f>E79</f>
        <v>-0.13</v>
      </c>
      <c r="G79" s="22" t="s">
        <v>129</v>
      </c>
      <c r="H79" s="22"/>
    </row>
    <row r="80" spans="2:8" x14ac:dyDescent="0.25">
      <c r="B80" s="22" t="s">
        <v>166</v>
      </c>
      <c r="C80" s="22"/>
      <c r="D80" s="22"/>
      <c r="E80" s="60">
        <v>0</v>
      </c>
      <c r="F80" s="60">
        <v>0</v>
      </c>
      <c r="G80" s="22" t="s">
        <v>130</v>
      </c>
      <c r="H80" s="22"/>
    </row>
    <row r="81" spans="2:8" x14ac:dyDescent="0.25">
      <c r="B81" s="22"/>
      <c r="C81" s="22"/>
      <c r="D81" s="22"/>
      <c r="E81" s="60"/>
      <c r="F81" s="22"/>
      <c r="G81" s="22"/>
      <c r="H81" s="22"/>
    </row>
    <row r="82" spans="2:8" ht="13" x14ac:dyDescent="0.25">
      <c r="B82" s="28" t="s">
        <v>178</v>
      </c>
      <c r="C82" s="28"/>
      <c r="D82" s="28"/>
      <c r="E82" s="28">
        <f>SUM(E75:E80)*(1-0.25)</f>
        <v>0.21750000000000003</v>
      </c>
      <c r="F82" s="28">
        <f>SUM(F75:F80)*(1-0.25)</f>
        <v>0.21750000000000003</v>
      </c>
      <c r="G82" s="22"/>
      <c r="H82" s="22"/>
    </row>
    <row r="83" spans="2:8" x14ac:dyDescent="0.25">
      <c r="B83" s="22"/>
      <c r="C83" s="22"/>
      <c r="D83" s="22"/>
      <c r="E83" s="22"/>
      <c r="F83" s="22"/>
      <c r="G83" s="22"/>
      <c r="H83" s="22"/>
    </row>
    <row r="84" spans="2:8" x14ac:dyDescent="0.25">
      <c r="B84" s="82" t="s">
        <v>143</v>
      </c>
      <c r="C84" s="22"/>
      <c r="D84" s="22"/>
      <c r="E84" s="88">
        <v>0</v>
      </c>
      <c r="F84" s="88">
        <v>0</v>
      </c>
      <c r="H84" s="22"/>
    </row>
    <row r="85" spans="2:8" x14ac:dyDescent="0.25">
      <c r="B85" s="82" t="s">
        <v>144</v>
      </c>
      <c r="C85" s="22"/>
      <c r="D85" s="22"/>
      <c r="E85" s="88">
        <v>0.05</v>
      </c>
      <c r="F85" s="88">
        <v>0.6</v>
      </c>
      <c r="H85" s="22"/>
    </row>
    <row r="86" spans="2:8" x14ac:dyDescent="0.25">
      <c r="B86" s="82" t="s">
        <v>145</v>
      </c>
      <c r="C86" s="22"/>
      <c r="D86" s="22"/>
      <c r="E86" s="88">
        <v>0.01</v>
      </c>
      <c r="F86" s="88">
        <v>0.15</v>
      </c>
      <c r="H86" s="22"/>
    </row>
    <row r="87" spans="2:8" x14ac:dyDescent="0.25">
      <c r="B87" s="22" t="s">
        <v>146</v>
      </c>
      <c r="C87" s="22"/>
      <c r="D87" s="22"/>
      <c r="E87" s="88">
        <v>0.1</v>
      </c>
      <c r="F87" s="88">
        <v>0.15</v>
      </c>
      <c r="H87" s="22"/>
    </row>
    <row r="88" spans="2:8" x14ac:dyDescent="0.25">
      <c r="B88" s="82" t="s">
        <v>147</v>
      </c>
      <c r="C88" s="22"/>
      <c r="D88" s="22"/>
      <c r="E88" s="88">
        <v>0.1</v>
      </c>
      <c r="F88" s="88">
        <v>0.1</v>
      </c>
      <c r="H88" s="22"/>
    </row>
    <row r="89" spans="2:8" ht="13" x14ac:dyDescent="0.25">
      <c r="B89" s="20" t="s">
        <v>167</v>
      </c>
      <c r="C89" s="22"/>
      <c r="D89" s="22"/>
      <c r="E89" s="22"/>
      <c r="F89" s="22"/>
      <c r="G89" s="22"/>
      <c r="H89" s="22"/>
    </row>
    <row r="90" spans="2:8" x14ac:dyDescent="0.25">
      <c r="B90" s="22" t="s">
        <v>138</v>
      </c>
      <c r="C90" s="22"/>
      <c r="D90" s="22"/>
      <c r="E90" s="84">
        <f>E84/E5</f>
        <v>0</v>
      </c>
      <c r="F90" s="84">
        <f>F84/F5</f>
        <v>0</v>
      </c>
      <c r="G90" s="22" t="s">
        <v>131</v>
      </c>
    </row>
    <row r="91" spans="2:8" x14ac:dyDescent="0.25">
      <c r="B91" s="22" t="s">
        <v>139</v>
      </c>
      <c r="C91" s="22"/>
      <c r="D91" s="22"/>
      <c r="E91" s="84">
        <f>E85/E6</f>
        <v>0.1</v>
      </c>
      <c r="F91" s="84">
        <f>F85/F6</f>
        <v>0.10909090909090909</v>
      </c>
      <c r="G91" s="89"/>
    </row>
    <row r="92" spans="2:8" x14ac:dyDescent="0.25">
      <c r="B92" s="22" t="s">
        <v>140</v>
      </c>
      <c r="C92" s="22"/>
      <c r="D92" s="22"/>
      <c r="E92" s="84">
        <f>E86/E7</f>
        <v>4.9999999999999996E-2</v>
      </c>
      <c r="F92" s="84">
        <f>F86/F7</f>
        <v>4.9999999999999996E-2</v>
      </c>
      <c r="G92" s="89"/>
    </row>
    <row r="93" spans="2:8" x14ac:dyDescent="0.25">
      <c r="B93" s="22" t="s">
        <v>141</v>
      </c>
      <c r="C93" s="22"/>
      <c r="D93" s="22"/>
      <c r="E93" s="84">
        <f>E87/E8</f>
        <v>0.05</v>
      </c>
      <c r="F93" s="84">
        <f>F87/F8</f>
        <v>4.9999999999999996E-2</v>
      </c>
      <c r="G93" s="89"/>
    </row>
    <row r="94" spans="2:8" x14ac:dyDescent="0.25">
      <c r="B94" s="22" t="s">
        <v>142</v>
      </c>
      <c r="C94" s="22"/>
      <c r="D94" s="22"/>
      <c r="E94" s="84">
        <f>E88/E9</f>
        <v>0.1</v>
      </c>
      <c r="F94" s="84">
        <f>F88/F9</f>
        <v>0.1</v>
      </c>
      <c r="G94" s="89"/>
    </row>
    <row r="95" spans="2:8" x14ac:dyDescent="0.25">
      <c r="B95" s="22"/>
      <c r="C95" s="22"/>
      <c r="D95" s="22"/>
      <c r="E95" s="22"/>
      <c r="F95" s="22"/>
      <c r="G95" s="89"/>
      <c r="H95" s="22"/>
    </row>
    <row r="96" spans="2:8" ht="13" x14ac:dyDescent="0.25">
      <c r="B96" s="28" t="s">
        <v>132</v>
      </c>
      <c r="C96" s="28"/>
      <c r="D96" s="28"/>
      <c r="E96" s="53">
        <f>SUM(E84:E88)</f>
        <v>0.26</v>
      </c>
      <c r="F96" s="53">
        <f>SUM(F84:F88)</f>
        <v>1</v>
      </c>
      <c r="G96" s="22"/>
      <c r="H96" s="22"/>
    </row>
    <row r="97" spans="2:9" ht="13" x14ac:dyDescent="0.25">
      <c r="B97" s="28" t="s">
        <v>149</v>
      </c>
      <c r="C97" s="28"/>
      <c r="D97" s="28"/>
      <c r="E97" s="85">
        <f>E82/E96</f>
        <v>0.83653846153846156</v>
      </c>
      <c r="F97" s="85">
        <f>F82/F96</f>
        <v>0.21750000000000003</v>
      </c>
      <c r="G97" s="22" t="s">
        <v>133</v>
      </c>
      <c r="H97" s="22"/>
    </row>
    <row r="98" spans="2:9" x14ac:dyDescent="0.25">
      <c r="G98" s="22"/>
      <c r="H98" s="22"/>
    </row>
    <row r="99" spans="2:9" ht="13" x14ac:dyDescent="0.25">
      <c r="B99" s="22" t="s">
        <v>125</v>
      </c>
      <c r="C99" s="28"/>
      <c r="D99" s="28"/>
      <c r="E99" s="70">
        <f>E96/Economic_Perspective!F23</f>
        <v>7.3541592723293291E-3</v>
      </c>
      <c r="F99" s="70">
        <f>F96/Economic_Perspective!F23</f>
        <v>2.8285227970497418E-2</v>
      </c>
      <c r="G99" s="22"/>
      <c r="H99" s="22"/>
    </row>
    <row r="100" spans="2:9" ht="13" x14ac:dyDescent="0.25">
      <c r="B100" s="22" t="s">
        <v>126</v>
      </c>
      <c r="C100" s="28"/>
      <c r="D100" s="28"/>
      <c r="E100" s="70">
        <v>0.2</v>
      </c>
      <c r="F100" s="70">
        <v>0.2</v>
      </c>
      <c r="H100" s="22"/>
    </row>
    <row r="101" spans="2:9" x14ac:dyDescent="0.25">
      <c r="E101" s="87"/>
      <c r="H101" s="124"/>
    </row>
    <row r="102" spans="2:9" ht="13" x14ac:dyDescent="0.25">
      <c r="B102" s="80" t="s">
        <v>150</v>
      </c>
      <c r="C102" s="81"/>
      <c r="D102" s="81"/>
      <c r="E102" s="80" t="s">
        <v>115</v>
      </c>
      <c r="F102" s="80" t="s">
        <v>85</v>
      </c>
      <c r="H102" s="133" t="s">
        <v>237</v>
      </c>
      <c r="I102" s="133"/>
    </row>
    <row r="103" spans="2:9" x14ac:dyDescent="0.25">
      <c r="B103" s="82" t="s">
        <v>119</v>
      </c>
      <c r="E103" s="86">
        <f>E16+E45+E75</f>
        <v>20.838072368421052</v>
      </c>
      <c r="F103" s="135">
        <f>F16+F45+F75</f>
        <v>20.838072368421052</v>
      </c>
      <c r="H103" s="133">
        <f>Normative_Perspective_Baseline!F68</f>
        <v>20.838072368421052</v>
      </c>
      <c r="I103" s="133">
        <f>H103-F103</f>
        <v>0</v>
      </c>
    </row>
    <row r="104" spans="2:9" x14ac:dyDescent="0.25">
      <c r="B104" s="82" t="s">
        <v>151</v>
      </c>
      <c r="E104" s="86">
        <f>E17+E46+E77</f>
        <v>8.23</v>
      </c>
      <c r="F104" s="135">
        <f>F17+F46+F77</f>
        <v>8.23</v>
      </c>
      <c r="H104" s="133">
        <f>Normative_Perspective_Baseline!F72</f>
        <v>8.2319999999999993</v>
      </c>
      <c r="I104" s="133">
        <f>H104-F104</f>
        <v>1.9999999999988916E-3</v>
      </c>
    </row>
    <row r="105" spans="2:9" x14ac:dyDescent="0.25">
      <c r="B105" s="82" t="s">
        <v>233</v>
      </c>
      <c r="E105" s="86">
        <f>H105</f>
        <v>-6.1739999999999995</v>
      </c>
      <c r="F105" s="135">
        <f>E105</f>
        <v>-6.1739999999999995</v>
      </c>
      <c r="H105" s="133">
        <f>Normative_Perspective_Baseline!F73</f>
        <v>-6.1739999999999995</v>
      </c>
      <c r="I105" s="133">
        <f>H105-F105</f>
        <v>0</v>
      </c>
    </row>
    <row r="106" spans="2:9" x14ac:dyDescent="0.25">
      <c r="B106" s="22" t="s">
        <v>152</v>
      </c>
      <c r="E106" s="132">
        <f>E18+E47+E78</f>
        <v>-7.977369736842105</v>
      </c>
      <c r="F106" s="136">
        <f>F18+F47+F78</f>
        <v>-7.977369736842105</v>
      </c>
      <c r="H106" s="133">
        <f>Normative_Perspective_Baseline!F69</f>
        <v>-7.9680052631578953</v>
      </c>
      <c r="I106" s="133">
        <f>H106-F106</f>
        <v>9.3644736842097842E-3</v>
      </c>
    </row>
    <row r="107" spans="2:9" x14ac:dyDescent="0.25">
      <c r="B107" s="22" t="s">
        <v>51</v>
      </c>
      <c r="E107" s="86">
        <f>E19+E48+E79</f>
        <v>-1.0299999999999998</v>
      </c>
      <c r="F107" s="135">
        <f>F19+F48+F79</f>
        <v>-1.0299999999999998</v>
      </c>
      <c r="H107" s="133">
        <f>Normative_Perspective_Baseline!F79</f>
        <v>-1.0289999999999999</v>
      </c>
      <c r="I107" s="133">
        <f>H107-F107</f>
        <v>9.9999999999988987E-4</v>
      </c>
    </row>
    <row r="108" spans="2:9" x14ac:dyDescent="0.25">
      <c r="B108" s="22" t="s">
        <v>166</v>
      </c>
      <c r="E108" s="86">
        <f>E20+E49+E80</f>
        <v>-3.4</v>
      </c>
      <c r="F108" s="135">
        <f>F20+F49+F80</f>
        <v>-3.4</v>
      </c>
      <c r="H108" s="133">
        <f>Normative_Perspective_Baseline!F80</f>
        <v>-3.3907894736842152</v>
      </c>
      <c r="I108" s="133">
        <f>H108-F108</f>
        <v>9.2105263157846728E-3</v>
      </c>
    </row>
    <row r="109" spans="2:9" x14ac:dyDescent="0.25">
      <c r="B109" s="22"/>
      <c r="H109" s="133"/>
      <c r="I109" s="133"/>
    </row>
    <row r="110" spans="2:9" ht="13" x14ac:dyDescent="0.25">
      <c r="B110" s="28" t="s">
        <v>178</v>
      </c>
      <c r="E110" s="129">
        <f>(E103+E104+E106+E107+E108+E105)*(1-0.25)</f>
        <v>7.8650269736842127</v>
      </c>
      <c r="F110" s="129">
        <f>(F103+F104+F106+F107+F108+F105)*(1-0.25)</f>
        <v>7.8650269736842127</v>
      </c>
      <c r="G110" s="124"/>
    </row>
    <row r="112" spans="2:9" x14ac:dyDescent="0.25">
      <c r="B112" s="82" t="s">
        <v>143</v>
      </c>
      <c r="E112" s="96">
        <f>E5</f>
        <v>10.5</v>
      </c>
      <c r="F112" s="96">
        <f>F5</f>
        <v>15.5</v>
      </c>
    </row>
    <row r="113" spans="2:7" x14ac:dyDescent="0.25">
      <c r="B113" s="82" t="s">
        <v>144</v>
      </c>
      <c r="E113" s="96">
        <f>E6</f>
        <v>0.5</v>
      </c>
      <c r="F113" s="96">
        <f>F6</f>
        <v>5.5</v>
      </c>
    </row>
    <row r="114" spans="2:7" x14ac:dyDescent="0.25">
      <c r="B114" s="82" t="s">
        <v>145</v>
      </c>
      <c r="E114" s="96">
        <f>E7</f>
        <v>0.2</v>
      </c>
      <c r="F114" s="96">
        <f>F7</f>
        <v>3</v>
      </c>
    </row>
    <row r="115" spans="2:7" x14ac:dyDescent="0.25">
      <c r="B115" s="22" t="s">
        <v>146</v>
      </c>
      <c r="E115" s="96">
        <f>E8</f>
        <v>2</v>
      </c>
      <c r="F115" s="96">
        <f>F8</f>
        <v>3</v>
      </c>
    </row>
    <row r="116" spans="2:7" x14ac:dyDescent="0.25">
      <c r="B116" s="82" t="s">
        <v>147</v>
      </c>
      <c r="E116" s="96">
        <f>E9</f>
        <v>1</v>
      </c>
      <c r="F116" s="96">
        <f>F9</f>
        <v>1</v>
      </c>
    </row>
    <row r="117" spans="2:7" ht="13" x14ac:dyDescent="0.25">
      <c r="B117" s="20" t="s">
        <v>167</v>
      </c>
    </row>
    <row r="118" spans="2:7" x14ac:dyDescent="0.25">
      <c r="B118" s="22" t="s">
        <v>138</v>
      </c>
      <c r="E118" s="87">
        <f>E112/E5</f>
        <v>1</v>
      </c>
      <c r="F118" s="87">
        <f>F112/F5</f>
        <v>1</v>
      </c>
    </row>
    <row r="119" spans="2:7" x14ac:dyDescent="0.25">
      <c r="B119" s="22" t="s">
        <v>139</v>
      </c>
      <c r="E119" s="87">
        <f>E113/E6</f>
        <v>1</v>
      </c>
      <c r="F119" s="87">
        <f>F113/F6</f>
        <v>1</v>
      </c>
    </row>
    <row r="120" spans="2:7" x14ac:dyDescent="0.25">
      <c r="B120" s="22" t="s">
        <v>140</v>
      </c>
      <c r="E120" s="87">
        <f>E114/E7</f>
        <v>1</v>
      </c>
      <c r="F120" s="87">
        <f>F114/F7</f>
        <v>1</v>
      </c>
    </row>
    <row r="121" spans="2:7" x14ac:dyDescent="0.25">
      <c r="B121" s="22" t="s">
        <v>141</v>
      </c>
      <c r="E121" s="87">
        <f>E115/E8</f>
        <v>1</v>
      </c>
      <c r="F121" s="87">
        <f>F115/F8</f>
        <v>1</v>
      </c>
    </row>
    <row r="122" spans="2:7" x14ac:dyDescent="0.25">
      <c r="B122" s="22" t="s">
        <v>142</v>
      </c>
      <c r="E122" s="87">
        <f>E116/E9</f>
        <v>1</v>
      </c>
      <c r="F122" s="87">
        <f>F116/F9</f>
        <v>1</v>
      </c>
    </row>
    <row r="124" spans="2:7" ht="13" x14ac:dyDescent="0.25">
      <c r="B124" s="28" t="s">
        <v>153</v>
      </c>
      <c r="E124" s="91">
        <f>SUM(E112:E116)</f>
        <v>14.2</v>
      </c>
      <c r="F124" s="130">
        <f>SUM(F112:F116)</f>
        <v>28</v>
      </c>
      <c r="G124" s="89"/>
    </row>
    <row r="126" spans="2:7" ht="13" x14ac:dyDescent="0.25">
      <c r="B126" s="28" t="s">
        <v>154</v>
      </c>
      <c r="E126" s="92">
        <f>E110/E124</f>
        <v>0.55387513899184604</v>
      </c>
      <c r="F126" s="92">
        <f>F110/F124</f>
        <v>0.28089382048872186</v>
      </c>
    </row>
    <row r="127" spans="2:7" ht="13" x14ac:dyDescent="0.25">
      <c r="B127" s="28" t="s">
        <v>157</v>
      </c>
      <c r="E127" s="92">
        <f>E10</f>
        <v>0.155</v>
      </c>
      <c r="F127" s="92">
        <f>F10</f>
        <v>0.155</v>
      </c>
    </row>
    <row r="129" spans="2:7" ht="13" x14ac:dyDescent="0.25">
      <c r="B129" s="91" t="s">
        <v>155</v>
      </c>
      <c r="E129" s="129">
        <f>(E126-E127)*E124</f>
        <v>5.664026973684213</v>
      </c>
      <c r="F129" s="129">
        <f>(F126-F127)*F124</f>
        <v>3.5250269736842119</v>
      </c>
      <c r="G129" s="22" t="s">
        <v>159</v>
      </c>
    </row>
  </sheetData>
  <conditionalFormatting sqref="E39:F39 E99:F99">
    <cfRule type="cellIs" dxfId="8" priority="10" operator="greaterThan">
      <formula>$E$40</formula>
    </cfRule>
  </conditionalFormatting>
  <conditionalFormatting sqref="E37:F37">
    <cfRule type="cellIs" dxfId="7" priority="5" operator="lessThan">
      <formula>$E$10</formula>
    </cfRule>
    <cfRule type="cellIs" dxfId="6" priority="6" operator="greaterThan">
      <formula>$E$10</formula>
    </cfRule>
  </conditionalFormatting>
  <conditionalFormatting sqref="E66:F66">
    <cfRule type="cellIs" dxfId="5" priority="3" operator="lessThan">
      <formula>$E$10</formula>
    </cfRule>
    <cfRule type="cellIs" dxfId="4" priority="4" operator="greaterThan">
      <formula>$E$10</formula>
    </cfRule>
  </conditionalFormatting>
  <conditionalFormatting sqref="E97:F97">
    <cfRule type="cellIs" dxfId="3" priority="1" operator="lessThan">
      <formula>$E$10</formula>
    </cfRule>
    <cfRule type="cellIs" dxfId="2" priority="2" operator="greaterThan">
      <formula>$E$10</formula>
    </cfRule>
  </conditionalFormatting>
  <conditionalFormatting sqref="E68:F68">
    <cfRule type="cellIs" dxfId="1" priority="14" operator="greaterThan">
      <formula>$E$69</formula>
    </cfRule>
    <cfRule type="cellIs" dxfId="0" priority="15" operator="greaterThan">
      <formula>$E$40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5</vt:i4>
      </vt:variant>
    </vt:vector>
  </HeadingPairs>
  <TitlesOfParts>
    <vt:vector size="5" baseType="lpstr">
      <vt:lpstr>Intro</vt:lpstr>
      <vt:lpstr>Normative_Perspective_Baseline</vt:lpstr>
      <vt:lpstr>Normative_Perspective_Adverse</vt:lpstr>
      <vt:lpstr>Economic_Perspective</vt:lpstr>
      <vt:lpstr>Capital allocation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Oleksandr Tarnavskyi</dc:creator>
  <cp:lastModifiedBy>Фефелова Аліна Валеріївна</cp:lastModifiedBy>
  <cp:lastPrinted>2018-02-05T14:03:43Z</cp:lastPrinted>
  <dcterms:created xsi:type="dcterms:W3CDTF">2018-01-23T08:59:19Z</dcterms:created>
  <dcterms:modified xsi:type="dcterms:W3CDTF">2024-11-27T11:54:09Z</dcterms:modified>
</cp:coreProperties>
</file>